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19440" windowHeight="9735"/>
  </bookViews>
  <sheets>
    <sheet name="REFORMA CEU-2016" sheetId="1" r:id="rId1"/>
  </sheets>
  <externalReferences>
    <externalReference r:id="rId2"/>
  </externalReferences>
  <definedNames>
    <definedName name="__xlnm.Print_Titles_2" localSheetId="0">#REF!</definedName>
    <definedName name="__xlnm.Print_Titles_2">#REF!</definedName>
    <definedName name="_xlnm.Print_Area" localSheetId="0">'REFORMA CEU-2016'!$A$10:$T$570</definedName>
    <definedName name="Excel_BuiltIn_Print_Titles_2_1" localSheetId="0">#REF!</definedName>
    <definedName name="Excel_BuiltIn_Print_Titles_2_1">#REF!</definedName>
  </definedNames>
  <calcPr calcId="1257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80" i="1"/>
  <c r="G80"/>
  <c r="T80" s="1"/>
  <c r="T541" l="1"/>
  <c r="T546"/>
  <c r="G78"/>
  <c r="G84"/>
  <c r="T84" s="1"/>
  <c r="G85"/>
  <c r="T85" s="1"/>
  <c r="G86"/>
  <c r="T86" s="1"/>
  <c r="G87"/>
  <c r="T87" s="1"/>
  <c r="G90"/>
  <c r="T90" s="1"/>
  <c r="T89" s="1"/>
  <c r="G91"/>
  <c r="T91" s="1"/>
  <c r="G93"/>
  <c r="T93" s="1"/>
  <c r="G105"/>
  <c r="T105" s="1"/>
  <c r="G109"/>
  <c r="G110"/>
  <c r="G117"/>
  <c r="T117" s="1"/>
  <c r="G122"/>
  <c r="T122" s="1"/>
  <c r="G124"/>
  <c r="T124" s="1"/>
  <c r="G131"/>
  <c r="T131" s="1"/>
  <c r="G141"/>
  <c r="T141" s="1"/>
  <c r="G151"/>
  <c r="T151" s="1"/>
  <c r="G158"/>
  <c r="G172"/>
  <c r="T172" s="1"/>
  <c r="T171" s="1"/>
  <c r="G203"/>
  <c r="T203" s="1"/>
  <c r="T190" s="1"/>
  <c r="G224"/>
  <c r="T224" s="1"/>
  <c r="T205" s="1"/>
  <c r="G246"/>
  <c r="T246" s="1"/>
  <c r="G256"/>
  <c r="T256" s="1"/>
  <c r="G260"/>
  <c r="T260" s="1"/>
  <c r="G261"/>
  <c r="T261" s="1"/>
  <c r="G262"/>
  <c r="T262" s="1"/>
  <c r="G266"/>
  <c r="T266" s="1"/>
  <c r="G267"/>
  <c r="T267" s="1"/>
  <c r="G271"/>
  <c r="T271" s="1"/>
  <c r="G272"/>
  <c r="T272" s="1"/>
  <c r="G273"/>
  <c r="T273" s="1"/>
  <c r="G274"/>
  <c r="T274" s="1"/>
  <c r="G275"/>
  <c r="G277"/>
  <c r="T277" s="1"/>
  <c r="G278"/>
  <c r="T278" s="1"/>
  <c r="G282"/>
  <c r="T282" s="1"/>
  <c r="G283"/>
  <c r="T283" s="1"/>
  <c r="G284"/>
  <c r="T284" s="1"/>
  <c r="G285"/>
  <c r="T285" s="1"/>
  <c r="G290"/>
  <c r="T290" s="1"/>
  <c r="G292"/>
  <c r="T292" s="1"/>
  <c r="G293"/>
  <c r="T293" s="1"/>
  <c r="G294"/>
  <c r="T294" s="1"/>
  <c r="G295"/>
  <c r="T295" s="1"/>
  <c r="G333"/>
  <c r="T333" s="1"/>
  <c r="G337"/>
  <c r="T337" s="1"/>
  <c r="G338"/>
  <c r="T338" s="1"/>
  <c r="G339"/>
  <c r="T339" s="1"/>
  <c r="G340"/>
  <c r="T340" s="1"/>
  <c r="G341"/>
  <c r="T341" s="1"/>
  <c r="G342"/>
  <c r="T342" s="1"/>
  <c r="G345"/>
  <c r="T345" s="1"/>
  <c r="G370"/>
  <c r="T370" s="1"/>
  <c r="G373"/>
  <c r="T373" s="1"/>
  <c r="G374"/>
  <c r="T374" s="1"/>
  <c r="G400"/>
  <c r="T400" s="1"/>
  <c r="G408"/>
  <c r="T408" s="1"/>
  <c r="G410"/>
  <c r="T410" s="1"/>
  <c r="G442"/>
  <c r="T442" s="1"/>
  <c r="G444"/>
  <c r="T444" s="1"/>
  <c r="G445"/>
  <c r="T445" s="1"/>
  <c r="G446"/>
  <c r="T446" s="1"/>
  <c r="G447"/>
  <c r="T447" s="1"/>
  <c r="G448"/>
  <c r="T448" s="1"/>
  <c r="G449"/>
  <c r="T449" s="1"/>
  <c r="G450"/>
  <c r="T450" s="1"/>
  <c r="G481"/>
  <c r="T481" s="1"/>
  <c r="G482"/>
  <c r="T482" s="1"/>
  <c r="G507"/>
  <c r="T507" s="1"/>
  <c r="G517"/>
  <c r="T517" s="1"/>
  <c r="G518"/>
  <c r="G519"/>
  <c r="T519" s="1"/>
  <c r="G521"/>
  <c r="T521" s="1"/>
  <c r="G528"/>
  <c r="T528" s="1"/>
  <c r="G529"/>
  <c r="T529" s="1"/>
  <c r="G530"/>
  <c r="G531"/>
  <c r="T531" s="1"/>
  <c r="G532"/>
  <c r="T532" s="1"/>
  <c r="G533"/>
  <c r="T533" s="1"/>
  <c r="G534"/>
  <c r="T534" s="1"/>
  <c r="G535"/>
  <c r="T535" s="1"/>
  <c r="G540"/>
  <c r="T540" s="1"/>
  <c r="T539" s="1"/>
  <c r="G82"/>
  <c r="T82" s="1"/>
  <c r="T81" s="1"/>
  <c r="T381" l="1"/>
  <c r="T255"/>
  <c r="T289"/>
  <c r="T83"/>
  <c r="E78"/>
  <c r="H78" s="1"/>
  <c r="H77" s="1"/>
  <c r="T78" l="1"/>
  <c r="T77" s="1"/>
  <c r="E113"/>
  <c r="E112"/>
  <c r="E111"/>
  <c r="E110"/>
  <c r="T110" s="1"/>
  <c r="E109"/>
  <c r="T109" s="1"/>
  <c r="L563" l="1"/>
  <c r="S561"/>
  <c r="J561"/>
  <c r="N561" s="1"/>
  <c r="O561" s="1"/>
  <c r="P561" s="1"/>
  <c r="G561"/>
  <c r="S560"/>
  <c r="J560"/>
  <c r="K560" s="1"/>
  <c r="L560" s="1"/>
  <c r="G560"/>
  <c r="S559"/>
  <c r="J559"/>
  <c r="I559"/>
  <c r="G559"/>
  <c r="S558"/>
  <c r="J558"/>
  <c r="I558"/>
  <c r="G558"/>
  <c r="S557"/>
  <c r="J557"/>
  <c r="K557" s="1"/>
  <c r="L557" s="1"/>
  <c r="G557"/>
  <c r="S556"/>
  <c r="J556"/>
  <c r="N556" s="1"/>
  <c r="O556" s="1"/>
  <c r="P556" s="1"/>
  <c r="G556"/>
  <c r="S555"/>
  <c r="J555"/>
  <c r="K555" s="1"/>
  <c r="L555" s="1"/>
  <c r="G555"/>
  <c r="F554"/>
  <c r="F553"/>
  <c r="G553" s="1"/>
  <c r="F552"/>
  <c r="F551"/>
  <c r="J551" s="1"/>
  <c r="F550"/>
  <c r="F549"/>
  <c r="S549" s="1"/>
  <c r="F548"/>
  <c r="F547"/>
  <c r="J547" s="1"/>
  <c r="S546"/>
  <c r="I545"/>
  <c r="F545"/>
  <c r="S545" s="1"/>
  <c r="I544"/>
  <c r="F544"/>
  <c r="S544" s="1"/>
  <c r="F543"/>
  <c r="F542"/>
  <c r="S542" s="1"/>
  <c r="S540"/>
  <c r="J540"/>
  <c r="H540"/>
  <c r="H539" s="1"/>
  <c r="I538"/>
  <c r="F538"/>
  <c r="G538" s="1"/>
  <c r="E538"/>
  <c r="F537"/>
  <c r="G537" s="1"/>
  <c r="T537" s="1"/>
  <c r="F536"/>
  <c r="H535"/>
  <c r="H534"/>
  <c r="H533"/>
  <c r="H532"/>
  <c r="H531"/>
  <c r="E530"/>
  <c r="H529"/>
  <c r="H528"/>
  <c r="M527"/>
  <c r="I527" s="1"/>
  <c r="F527"/>
  <c r="F526"/>
  <c r="G526" s="1"/>
  <c r="T526" s="1"/>
  <c r="F524"/>
  <c r="M523"/>
  <c r="F523"/>
  <c r="M522"/>
  <c r="F522"/>
  <c r="S521"/>
  <c r="J521"/>
  <c r="H521"/>
  <c r="F520"/>
  <c r="S519"/>
  <c r="J519"/>
  <c r="K519" s="1"/>
  <c r="L519" s="1"/>
  <c r="H519"/>
  <c r="S518"/>
  <c r="J518"/>
  <c r="N518" s="1"/>
  <c r="O518" s="1"/>
  <c r="P518" s="1"/>
  <c r="E518"/>
  <c r="H517"/>
  <c r="I516"/>
  <c r="F516"/>
  <c r="G516" s="1"/>
  <c r="E516"/>
  <c r="F515"/>
  <c r="G515" s="1"/>
  <c r="T515" s="1"/>
  <c r="F514"/>
  <c r="F513"/>
  <c r="F512"/>
  <c r="F511"/>
  <c r="G511" s="1"/>
  <c r="T511" s="1"/>
  <c r="F510"/>
  <c r="F509"/>
  <c r="F508"/>
  <c r="H507"/>
  <c r="F506"/>
  <c r="G506" s="1"/>
  <c r="T506" s="1"/>
  <c r="M505"/>
  <c r="F505"/>
  <c r="F504"/>
  <c r="F503"/>
  <c r="G503" s="1"/>
  <c r="T503" s="1"/>
  <c r="F502"/>
  <c r="F500"/>
  <c r="G500" s="1"/>
  <c r="T500" s="1"/>
  <c r="F499"/>
  <c r="F498"/>
  <c r="G498" s="1"/>
  <c r="T498" s="1"/>
  <c r="F497"/>
  <c r="F496"/>
  <c r="G496" s="1"/>
  <c r="T496" s="1"/>
  <c r="F495"/>
  <c r="F494"/>
  <c r="G494" s="1"/>
  <c r="T494" s="1"/>
  <c r="F493"/>
  <c r="F492"/>
  <c r="G492" s="1"/>
  <c r="T492" s="1"/>
  <c r="F491"/>
  <c r="F490"/>
  <c r="G490" s="1"/>
  <c r="T490" s="1"/>
  <c r="F489"/>
  <c r="F488"/>
  <c r="G488" s="1"/>
  <c r="T488" s="1"/>
  <c r="F487"/>
  <c r="F486"/>
  <c r="G486" s="1"/>
  <c r="T486" s="1"/>
  <c r="F485"/>
  <c r="F483"/>
  <c r="B483"/>
  <c r="H482"/>
  <c r="H481"/>
  <c r="F479"/>
  <c r="G479" s="1"/>
  <c r="T479" s="1"/>
  <c r="F478"/>
  <c r="F477"/>
  <c r="G477" s="1"/>
  <c r="T477" s="1"/>
  <c r="F476"/>
  <c r="F475"/>
  <c r="G475" s="1"/>
  <c r="T475" s="1"/>
  <c r="F474"/>
  <c r="F473"/>
  <c r="G473" s="1"/>
  <c r="T473" s="1"/>
  <c r="F472"/>
  <c r="F471"/>
  <c r="G471" s="1"/>
  <c r="T471" s="1"/>
  <c r="F470"/>
  <c r="F469"/>
  <c r="G469" s="1"/>
  <c r="T469" s="1"/>
  <c r="F468"/>
  <c r="F467"/>
  <c r="G467" s="1"/>
  <c r="T467" s="1"/>
  <c r="F466"/>
  <c r="F465"/>
  <c r="G465" s="1"/>
  <c r="T465" s="1"/>
  <c r="F464"/>
  <c r="F463"/>
  <c r="G463" s="1"/>
  <c r="T463" s="1"/>
  <c r="F462"/>
  <c r="F461"/>
  <c r="G461" s="1"/>
  <c r="T461" s="1"/>
  <c r="F460"/>
  <c r="F459"/>
  <c r="G459" s="1"/>
  <c r="T459" s="1"/>
  <c r="F458"/>
  <c r="F457"/>
  <c r="G457" s="1"/>
  <c r="T457" s="1"/>
  <c r="F456"/>
  <c r="F455"/>
  <c r="G455" s="1"/>
  <c r="T455" s="1"/>
  <c r="F454"/>
  <c r="F453"/>
  <c r="G453" s="1"/>
  <c r="T453" s="1"/>
  <c r="F452"/>
  <c r="F451"/>
  <c r="G451" s="1"/>
  <c r="T451" s="1"/>
  <c r="P449"/>
  <c r="N449"/>
  <c r="I449"/>
  <c r="L449" s="1"/>
  <c r="P448"/>
  <c r="N448"/>
  <c r="I448"/>
  <c r="L448" s="1"/>
  <c r="P447"/>
  <c r="N447"/>
  <c r="I447"/>
  <c r="L447" s="1"/>
  <c r="P446"/>
  <c r="N446"/>
  <c r="I446"/>
  <c r="L446" s="1"/>
  <c r="P445"/>
  <c r="N445"/>
  <c r="I445"/>
  <c r="L445" s="1"/>
  <c r="P444"/>
  <c r="N444"/>
  <c r="I444"/>
  <c r="L444" s="1"/>
  <c r="F443"/>
  <c r="G443" s="1"/>
  <c r="T443" s="1"/>
  <c r="P442"/>
  <c r="N442"/>
  <c r="I442"/>
  <c r="L442" s="1"/>
  <c r="F441"/>
  <c r="G441" s="1"/>
  <c r="T441" s="1"/>
  <c r="F440"/>
  <c r="F439"/>
  <c r="G439" s="1"/>
  <c r="T439" s="1"/>
  <c r="F438"/>
  <c r="F437"/>
  <c r="G437" s="1"/>
  <c r="T437" s="1"/>
  <c r="F436"/>
  <c r="F435"/>
  <c r="G435" s="1"/>
  <c r="T435" s="1"/>
  <c r="F434"/>
  <c r="M433"/>
  <c r="F433"/>
  <c r="F432"/>
  <c r="G432" s="1"/>
  <c r="T432" s="1"/>
  <c r="F431"/>
  <c r="F430"/>
  <c r="G430" s="1"/>
  <c r="T430" s="1"/>
  <c r="F429"/>
  <c r="F428"/>
  <c r="G428" s="1"/>
  <c r="T428" s="1"/>
  <c r="F427"/>
  <c r="F426"/>
  <c r="G426" s="1"/>
  <c r="T426" s="1"/>
  <c r="M425"/>
  <c r="I425" s="1"/>
  <c r="F425"/>
  <c r="M424"/>
  <c r="I424" s="1"/>
  <c r="F424"/>
  <c r="G424" s="1"/>
  <c r="T424" s="1"/>
  <c r="M423"/>
  <c r="F423"/>
  <c r="F422"/>
  <c r="F421"/>
  <c r="G421" s="1"/>
  <c r="T421" s="1"/>
  <c r="M420"/>
  <c r="F420"/>
  <c r="F419"/>
  <c r="M418"/>
  <c r="F418"/>
  <c r="M417"/>
  <c r="F417"/>
  <c r="M416"/>
  <c r="F416"/>
  <c r="M415"/>
  <c r="F415"/>
  <c r="F414"/>
  <c r="G414" s="1"/>
  <c r="T414" s="1"/>
  <c r="F413"/>
  <c r="F412"/>
  <c r="G412" s="1"/>
  <c r="T412" s="1"/>
  <c r="M411"/>
  <c r="F411"/>
  <c r="G411" s="1"/>
  <c r="T411" s="1"/>
  <c r="M409"/>
  <c r="F409"/>
  <c r="S408"/>
  <c r="J408"/>
  <c r="H408"/>
  <c r="M407"/>
  <c r="I407" s="1"/>
  <c r="F407"/>
  <c r="M406"/>
  <c r="F406"/>
  <c r="M405"/>
  <c r="F405"/>
  <c r="M404"/>
  <c r="F404"/>
  <c r="M403"/>
  <c r="I403" s="1"/>
  <c r="F403"/>
  <c r="F402"/>
  <c r="M401"/>
  <c r="I401" s="1"/>
  <c r="F401"/>
  <c r="S400"/>
  <c r="J400"/>
  <c r="H400"/>
  <c r="H381" s="1"/>
  <c r="F399"/>
  <c r="F398"/>
  <c r="G398" s="1"/>
  <c r="T398" s="1"/>
  <c r="M397"/>
  <c r="F397"/>
  <c r="G397" s="1"/>
  <c r="T397" s="1"/>
  <c r="M396"/>
  <c r="I396" s="1"/>
  <c r="F396"/>
  <c r="M395"/>
  <c r="I395" s="1"/>
  <c r="F395"/>
  <c r="M394"/>
  <c r="I394"/>
  <c r="F394"/>
  <c r="M393"/>
  <c r="F393"/>
  <c r="I392"/>
  <c r="F392"/>
  <c r="M391"/>
  <c r="I391" s="1"/>
  <c r="F391"/>
  <c r="F390"/>
  <c r="M389"/>
  <c r="F389"/>
  <c r="M388"/>
  <c r="F388"/>
  <c r="M387"/>
  <c r="F387"/>
  <c r="M386"/>
  <c r="I386"/>
  <c r="F386"/>
  <c r="M385"/>
  <c r="F385"/>
  <c r="G385" s="1"/>
  <c r="T385" s="1"/>
  <c r="M384"/>
  <c r="F384"/>
  <c r="M383"/>
  <c r="F383"/>
  <c r="G383" s="1"/>
  <c r="T383" s="1"/>
  <c r="F382"/>
  <c r="M380"/>
  <c r="F380"/>
  <c r="F379"/>
  <c r="G379" s="1"/>
  <c r="T379" s="1"/>
  <c r="F378"/>
  <c r="F377"/>
  <c r="G377" s="1"/>
  <c r="T377" s="1"/>
  <c r="F376"/>
  <c r="F375"/>
  <c r="G375" s="1"/>
  <c r="T375" s="1"/>
  <c r="P374"/>
  <c r="N374"/>
  <c r="I374"/>
  <c r="L374" s="1"/>
  <c r="P373"/>
  <c r="N373"/>
  <c r="I373"/>
  <c r="L373" s="1"/>
  <c r="F372"/>
  <c r="M371"/>
  <c r="F371"/>
  <c r="F369"/>
  <c r="F368"/>
  <c r="G368" s="1"/>
  <c r="T368" s="1"/>
  <c r="F367"/>
  <c r="F366"/>
  <c r="G366" s="1"/>
  <c r="T366" s="1"/>
  <c r="F365"/>
  <c r="F364"/>
  <c r="G364" s="1"/>
  <c r="T364" s="1"/>
  <c r="F363"/>
  <c r="M362"/>
  <c r="F362"/>
  <c r="F361"/>
  <c r="G361" s="1"/>
  <c r="T361" s="1"/>
  <c r="F360"/>
  <c r="F359"/>
  <c r="G359" s="1"/>
  <c r="T359" s="1"/>
  <c r="F358"/>
  <c r="F357"/>
  <c r="G357" s="1"/>
  <c r="T357" s="1"/>
  <c r="M356"/>
  <c r="F356"/>
  <c r="M355"/>
  <c r="I355" s="1"/>
  <c r="F355"/>
  <c r="M354"/>
  <c r="I354" s="1"/>
  <c r="F354"/>
  <c r="M353"/>
  <c r="I353" s="1"/>
  <c r="F353"/>
  <c r="G353" s="1"/>
  <c r="T353" s="1"/>
  <c r="M352"/>
  <c r="I352" s="1"/>
  <c r="F352"/>
  <c r="F351"/>
  <c r="G351" s="1"/>
  <c r="T351" s="1"/>
  <c r="F350"/>
  <c r="M349"/>
  <c r="I349" s="1"/>
  <c r="F349"/>
  <c r="G349" s="1"/>
  <c r="T349" s="1"/>
  <c r="F346"/>
  <c r="B346"/>
  <c r="B347" s="1"/>
  <c r="B348" s="1"/>
  <c r="H345"/>
  <c r="M344"/>
  <c r="F344"/>
  <c r="M343"/>
  <c r="I343" s="1"/>
  <c r="F343"/>
  <c r="G343" s="1"/>
  <c r="T343" s="1"/>
  <c r="S342"/>
  <c r="J342"/>
  <c r="H342"/>
  <c r="H341"/>
  <c r="H340"/>
  <c r="H339"/>
  <c r="H338"/>
  <c r="H337"/>
  <c r="F336"/>
  <c r="G336" s="1"/>
  <c r="E336"/>
  <c r="M336" s="1"/>
  <c r="M335"/>
  <c r="F335"/>
  <c r="F334"/>
  <c r="G334" s="1"/>
  <c r="T334" s="1"/>
  <c r="P333"/>
  <c r="N333"/>
  <c r="K333"/>
  <c r="I333"/>
  <c r="H333"/>
  <c r="M332"/>
  <c r="F332"/>
  <c r="F331"/>
  <c r="G331" s="1"/>
  <c r="T331" s="1"/>
  <c r="F330"/>
  <c r="M329"/>
  <c r="I329" s="1"/>
  <c r="F329"/>
  <c r="M328"/>
  <c r="F328"/>
  <c r="G328" s="1"/>
  <c r="T328" s="1"/>
  <c r="M327"/>
  <c r="F327"/>
  <c r="F326"/>
  <c r="M325"/>
  <c r="F325"/>
  <c r="M324"/>
  <c r="F324"/>
  <c r="M323"/>
  <c r="F323"/>
  <c r="M322"/>
  <c r="I322" s="1"/>
  <c r="F322"/>
  <c r="M321"/>
  <c r="F321"/>
  <c r="G321" s="1"/>
  <c r="T321" s="1"/>
  <c r="M320"/>
  <c r="F320"/>
  <c r="M319"/>
  <c r="I319" s="1"/>
  <c r="F319"/>
  <c r="F318"/>
  <c r="G318" s="1"/>
  <c r="T318" s="1"/>
  <c r="F317"/>
  <c r="M316"/>
  <c r="F316"/>
  <c r="M315"/>
  <c r="I315"/>
  <c r="F315"/>
  <c r="M314"/>
  <c r="I314" s="1"/>
  <c r="F314"/>
  <c r="M313"/>
  <c r="F313"/>
  <c r="M312"/>
  <c r="I312" s="1"/>
  <c r="F312"/>
  <c r="G312" s="1"/>
  <c r="T312" s="1"/>
  <c r="M311"/>
  <c r="I311" s="1"/>
  <c r="F311"/>
  <c r="F310"/>
  <c r="G310" s="1"/>
  <c r="T310" s="1"/>
  <c r="M309"/>
  <c r="I309" s="1"/>
  <c r="F309"/>
  <c r="F308"/>
  <c r="G308" s="1"/>
  <c r="T308" s="1"/>
  <c r="F307"/>
  <c r="F306"/>
  <c r="G306" s="1"/>
  <c r="T306" s="1"/>
  <c r="F305"/>
  <c r="F304"/>
  <c r="G304" s="1"/>
  <c r="T304" s="1"/>
  <c r="F303"/>
  <c r="F302"/>
  <c r="G302" s="1"/>
  <c r="T302" s="1"/>
  <c r="F301"/>
  <c r="F300"/>
  <c r="G300" s="1"/>
  <c r="T300" s="1"/>
  <c r="F299"/>
  <c r="F298"/>
  <c r="G298" s="1"/>
  <c r="T298" s="1"/>
  <c r="F296"/>
  <c r="S295"/>
  <c r="J295"/>
  <c r="H295"/>
  <c r="P294"/>
  <c r="H294"/>
  <c r="P293"/>
  <c r="H293"/>
  <c r="P292"/>
  <c r="H292"/>
  <c r="F291"/>
  <c r="S290"/>
  <c r="J290"/>
  <c r="H290"/>
  <c r="F288"/>
  <c r="F287"/>
  <c r="G287" s="1"/>
  <c r="T287" s="1"/>
  <c r="F286"/>
  <c r="S285"/>
  <c r="J285"/>
  <c r="H285"/>
  <c r="H284"/>
  <c r="H283"/>
  <c r="H282"/>
  <c r="F281"/>
  <c r="F280"/>
  <c r="F279"/>
  <c r="S278"/>
  <c r="J278"/>
  <c r="K278" s="1"/>
  <c r="L278" s="1"/>
  <c r="H278"/>
  <c r="H277"/>
  <c r="M276"/>
  <c r="I276" s="1"/>
  <c r="F276"/>
  <c r="S275"/>
  <c r="J275"/>
  <c r="I275"/>
  <c r="E275"/>
  <c r="H274"/>
  <c r="H273"/>
  <c r="H272"/>
  <c r="H271"/>
  <c r="F270"/>
  <c r="F269"/>
  <c r="F268"/>
  <c r="S267"/>
  <c r="J267"/>
  <c r="N267" s="1"/>
  <c r="O267" s="1"/>
  <c r="P267" s="1"/>
  <c r="H267"/>
  <c r="H266"/>
  <c r="F265"/>
  <c r="G265" s="1"/>
  <c r="T265" s="1"/>
  <c r="M264"/>
  <c r="F264"/>
  <c r="S262"/>
  <c r="N262"/>
  <c r="O262" s="1"/>
  <c r="P262" s="1"/>
  <c r="L262"/>
  <c r="H262"/>
  <c r="S261"/>
  <c r="N261"/>
  <c r="O261" s="1"/>
  <c r="P261" s="1"/>
  <c r="L261"/>
  <c r="H261"/>
  <c r="S260"/>
  <c r="O260"/>
  <c r="P260" s="1"/>
  <c r="N260"/>
  <c r="L260"/>
  <c r="H260"/>
  <c r="N259"/>
  <c r="O259" s="1"/>
  <c r="P259" s="1"/>
  <c r="L259"/>
  <c r="F259"/>
  <c r="N258"/>
  <c r="O258" s="1"/>
  <c r="P258" s="1"/>
  <c r="L258"/>
  <c r="F258"/>
  <c r="N257"/>
  <c r="O257" s="1"/>
  <c r="P257" s="1"/>
  <c r="L257"/>
  <c r="F257"/>
  <c r="S256"/>
  <c r="J256"/>
  <c r="H256"/>
  <c r="F254"/>
  <c r="G254" s="1"/>
  <c r="T254" s="1"/>
  <c r="F253"/>
  <c r="F252"/>
  <c r="G252" s="1"/>
  <c r="T252" s="1"/>
  <c r="F251"/>
  <c r="F250"/>
  <c r="G250" s="1"/>
  <c r="T250" s="1"/>
  <c r="F249"/>
  <c r="F248"/>
  <c r="G248" s="1"/>
  <c r="T248" s="1"/>
  <c r="F247"/>
  <c r="F245"/>
  <c r="F244"/>
  <c r="G244" s="1"/>
  <c r="T244" s="1"/>
  <c r="F243"/>
  <c r="F242"/>
  <c r="G242" s="1"/>
  <c r="T242" s="1"/>
  <c r="F241"/>
  <c r="F240"/>
  <c r="G240" s="1"/>
  <c r="T240" s="1"/>
  <c r="I239"/>
  <c r="F239"/>
  <c r="E239"/>
  <c r="I238"/>
  <c r="F238"/>
  <c r="E238"/>
  <c r="I237"/>
  <c r="F237"/>
  <c r="E237"/>
  <c r="F236"/>
  <c r="G236" s="1"/>
  <c r="T236" s="1"/>
  <c r="F235"/>
  <c r="F234"/>
  <c r="G234" s="1"/>
  <c r="T234" s="1"/>
  <c r="F233"/>
  <c r="F232"/>
  <c r="G232" s="1"/>
  <c r="T232" s="1"/>
  <c r="F231"/>
  <c r="F230"/>
  <c r="G230" s="1"/>
  <c r="T230" s="1"/>
  <c r="F229"/>
  <c r="F228"/>
  <c r="G228" s="1"/>
  <c r="T228" s="1"/>
  <c r="F227"/>
  <c r="F226"/>
  <c r="G226" s="1"/>
  <c r="T226" s="1"/>
  <c r="F225"/>
  <c r="S224"/>
  <c r="J224"/>
  <c r="H224"/>
  <c r="H205" s="1"/>
  <c r="F223"/>
  <c r="F222"/>
  <c r="G222" s="1"/>
  <c r="T222" s="1"/>
  <c r="F221"/>
  <c r="F220"/>
  <c r="G220" s="1"/>
  <c r="T220" s="1"/>
  <c r="F219"/>
  <c r="F218"/>
  <c r="G218" s="1"/>
  <c r="T218" s="1"/>
  <c r="F217"/>
  <c r="F216"/>
  <c r="G216" s="1"/>
  <c r="T216" s="1"/>
  <c r="F215"/>
  <c r="F214"/>
  <c r="G214" s="1"/>
  <c r="T214" s="1"/>
  <c r="F213"/>
  <c r="F212"/>
  <c r="G212" s="1"/>
  <c r="T212" s="1"/>
  <c r="F211"/>
  <c r="F210"/>
  <c r="G210" s="1"/>
  <c r="T210" s="1"/>
  <c r="F209"/>
  <c r="F208"/>
  <c r="G208" s="1"/>
  <c r="T208" s="1"/>
  <c r="F207"/>
  <c r="F206"/>
  <c r="G206" s="1"/>
  <c r="T206" s="1"/>
  <c r="F204"/>
  <c r="S203"/>
  <c r="J203"/>
  <c r="H203"/>
  <c r="F202"/>
  <c r="F201"/>
  <c r="G201" s="1"/>
  <c r="T201" s="1"/>
  <c r="F200"/>
  <c r="M199"/>
  <c r="I199" s="1"/>
  <c r="F199"/>
  <c r="F198"/>
  <c r="F197"/>
  <c r="G197" s="1"/>
  <c r="T197" s="1"/>
  <c r="F196"/>
  <c r="F195"/>
  <c r="G195" s="1"/>
  <c r="T195" s="1"/>
  <c r="F194"/>
  <c r="F193"/>
  <c r="G193" s="1"/>
  <c r="T193" s="1"/>
  <c r="F192"/>
  <c r="F191"/>
  <c r="G191" s="1"/>
  <c r="T191" s="1"/>
  <c r="F189"/>
  <c r="F188"/>
  <c r="G188" s="1"/>
  <c r="T188" s="1"/>
  <c r="F187"/>
  <c r="F186"/>
  <c r="G186" s="1"/>
  <c r="T186" s="1"/>
  <c r="F185"/>
  <c r="F184"/>
  <c r="G184" s="1"/>
  <c r="T184" s="1"/>
  <c r="F183"/>
  <c r="F182"/>
  <c r="G182" s="1"/>
  <c r="T182" s="1"/>
  <c r="F181"/>
  <c r="F180"/>
  <c r="G180" s="1"/>
  <c r="T180" s="1"/>
  <c r="F179"/>
  <c r="F178"/>
  <c r="G178" s="1"/>
  <c r="T178" s="1"/>
  <c r="F177"/>
  <c r="F176"/>
  <c r="G176" s="1"/>
  <c r="T176" s="1"/>
  <c r="F175"/>
  <c r="F174"/>
  <c r="G174" s="1"/>
  <c r="T174" s="1"/>
  <c r="F173"/>
  <c r="S172"/>
  <c r="J172"/>
  <c r="N172" s="1"/>
  <c r="O172" s="1"/>
  <c r="P172" s="1"/>
  <c r="H172"/>
  <c r="H171" s="1"/>
  <c r="F170"/>
  <c r="G170" s="1"/>
  <c r="T170" s="1"/>
  <c r="F169"/>
  <c r="F168"/>
  <c r="G168" s="1"/>
  <c r="T168" s="1"/>
  <c r="M167"/>
  <c r="I167" s="1"/>
  <c r="F167"/>
  <c r="F166"/>
  <c r="G166" s="1"/>
  <c r="T166" s="1"/>
  <c r="F165"/>
  <c r="F164"/>
  <c r="G164" s="1"/>
  <c r="T164" s="1"/>
  <c r="F163"/>
  <c r="F162"/>
  <c r="G162" s="1"/>
  <c r="T162" s="1"/>
  <c r="F161"/>
  <c r="F160"/>
  <c r="G160" s="1"/>
  <c r="T160" s="1"/>
  <c r="F159"/>
  <c r="S158"/>
  <c r="J158"/>
  <c r="K158" s="1"/>
  <c r="L158" s="1"/>
  <c r="L157" s="1"/>
  <c r="E158"/>
  <c r="F156"/>
  <c r="G156" s="1"/>
  <c r="T156" s="1"/>
  <c r="M155"/>
  <c r="F155"/>
  <c r="G155" s="1"/>
  <c r="T155" s="1"/>
  <c r="F154"/>
  <c r="F153"/>
  <c r="G153" s="1"/>
  <c r="T153" s="1"/>
  <c r="M152"/>
  <c r="I152" s="1"/>
  <c r="F152"/>
  <c r="M150"/>
  <c r="I150" s="1"/>
  <c r="F150"/>
  <c r="L149"/>
  <c r="J149"/>
  <c r="F149"/>
  <c r="L148"/>
  <c r="J148"/>
  <c r="F148"/>
  <c r="F147"/>
  <c r="G147" s="1"/>
  <c r="T147" s="1"/>
  <c r="F146"/>
  <c r="F145"/>
  <c r="G145" s="1"/>
  <c r="T145" s="1"/>
  <c r="F144"/>
  <c r="M143"/>
  <c r="I143" s="1"/>
  <c r="F143"/>
  <c r="M142"/>
  <c r="I142" s="1"/>
  <c r="F142"/>
  <c r="M140"/>
  <c r="I140" s="1"/>
  <c r="F140"/>
  <c r="E140"/>
  <c r="F139"/>
  <c r="I138"/>
  <c r="F138"/>
  <c r="E138"/>
  <c r="F137"/>
  <c r="M136"/>
  <c r="I136" s="1"/>
  <c r="F136"/>
  <c r="G136" s="1"/>
  <c r="E136"/>
  <c r="F135"/>
  <c r="G135" s="1"/>
  <c r="T135" s="1"/>
  <c r="F134"/>
  <c r="F133"/>
  <c r="G133" s="1"/>
  <c r="T133" s="1"/>
  <c r="F132"/>
  <c r="F130"/>
  <c r="F129"/>
  <c r="G129" s="1"/>
  <c r="T129" s="1"/>
  <c r="F128"/>
  <c r="I127"/>
  <c r="F127"/>
  <c r="E127"/>
  <c r="I126"/>
  <c r="F126"/>
  <c r="I125"/>
  <c r="F125"/>
  <c r="E125"/>
  <c r="F123"/>
  <c r="F121"/>
  <c r="F120"/>
  <c r="G120" s="1"/>
  <c r="T120" s="1"/>
  <c r="F119"/>
  <c r="F118"/>
  <c r="G118" s="1"/>
  <c r="T118" s="1"/>
  <c r="M116"/>
  <c r="I116" s="1"/>
  <c r="I115"/>
  <c r="E115"/>
  <c r="B115"/>
  <c r="B114"/>
  <c r="F113"/>
  <c r="S113" s="1"/>
  <c r="B113"/>
  <c r="F111"/>
  <c r="G111" s="1"/>
  <c r="T111" s="1"/>
  <c r="B111"/>
  <c r="B112" s="1"/>
  <c r="S110"/>
  <c r="J110"/>
  <c r="K110" s="1"/>
  <c r="L110" s="1"/>
  <c r="H110"/>
  <c r="S109"/>
  <c r="J109"/>
  <c r="K109" s="1"/>
  <c r="L109" s="1"/>
  <c r="H109"/>
  <c r="F107"/>
  <c r="F106"/>
  <c r="G106" s="1"/>
  <c r="T106" s="1"/>
  <c r="F104"/>
  <c r="M103"/>
  <c r="I103" s="1"/>
  <c r="F103"/>
  <c r="M102"/>
  <c r="F102"/>
  <c r="G102" s="1"/>
  <c r="T102" s="1"/>
  <c r="I101"/>
  <c r="F101"/>
  <c r="F100"/>
  <c r="F99"/>
  <c r="G99" s="1"/>
  <c r="T99" s="1"/>
  <c r="M98"/>
  <c r="F98"/>
  <c r="G98" s="1"/>
  <c r="T98" s="1"/>
  <c r="F97"/>
  <c r="F96"/>
  <c r="G96" s="1"/>
  <c r="T96" s="1"/>
  <c r="F95"/>
  <c r="F94"/>
  <c r="G94" s="1"/>
  <c r="T94" s="1"/>
  <c r="F92"/>
  <c r="S91"/>
  <c r="J91"/>
  <c r="H91"/>
  <c r="S90"/>
  <c r="J90"/>
  <c r="H90"/>
  <c r="F88"/>
  <c r="S87"/>
  <c r="J87"/>
  <c r="K87" s="1"/>
  <c r="L87" s="1"/>
  <c r="H87"/>
  <c r="S86"/>
  <c r="J86"/>
  <c r="N86" s="1"/>
  <c r="O86" s="1"/>
  <c r="P86" s="1"/>
  <c r="H86"/>
  <c r="S85"/>
  <c r="J85"/>
  <c r="K85" s="1"/>
  <c r="L85" s="1"/>
  <c r="H85"/>
  <c r="S84"/>
  <c r="J84"/>
  <c r="K84" s="1"/>
  <c r="L84" s="1"/>
  <c r="H84"/>
  <c r="S82"/>
  <c r="J82"/>
  <c r="N82" s="1"/>
  <c r="O82" s="1"/>
  <c r="P82" s="1"/>
  <c r="I82"/>
  <c r="H82"/>
  <c r="H81" s="1"/>
  <c r="S81"/>
  <c r="F79"/>
  <c r="F76"/>
  <c r="M75"/>
  <c r="I75" s="1"/>
  <c r="F75"/>
  <c r="J75" s="1"/>
  <c r="N75" s="1"/>
  <c r="O75" s="1"/>
  <c r="I74"/>
  <c r="F74"/>
  <c r="S74" s="1"/>
  <c r="T74" s="1"/>
  <c r="E74"/>
  <c r="F73"/>
  <c r="S73" s="1"/>
  <c r="T73" s="1"/>
  <c r="F72"/>
  <c r="M71"/>
  <c r="I71" s="1"/>
  <c r="F71"/>
  <c r="J71" s="1"/>
  <c r="N71" s="1"/>
  <c r="O71" s="1"/>
  <c r="S70"/>
  <c r="F69"/>
  <c r="J69" s="1"/>
  <c r="F68"/>
  <c r="F67"/>
  <c r="G67" s="1"/>
  <c r="H67" s="1"/>
  <c r="F66"/>
  <c r="I65"/>
  <c r="F65"/>
  <c r="G65" s="1"/>
  <c r="E65"/>
  <c r="F64"/>
  <c r="F63"/>
  <c r="G63" s="1"/>
  <c r="H63" s="1"/>
  <c r="F62"/>
  <c r="F61"/>
  <c r="S61" s="1"/>
  <c r="T61" s="1"/>
  <c r="F60"/>
  <c r="F58"/>
  <c r="G58" s="1"/>
  <c r="H58" s="1"/>
  <c r="F57"/>
  <c r="F56"/>
  <c r="J56" s="1"/>
  <c r="F55"/>
  <c r="F54"/>
  <c r="G54" s="1"/>
  <c r="H54" s="1"/>
  <c r="F53"/>
  <c r="F52"/>
  <c r="S52" s="1"/>
  <c r="T52" s="1"/>
  <c r="F51"/>
  <c r="F50"/>
  <c r="G50" s="1"/>
  <c r="H50" s="1"/>
  <c r="F49"/>
  <c r="F48"/>
  <c r="G48" s="1"/>
  <c r="H48" s="1"/>
  <c r="F47"/>
  <c r="M45"/>
  <c r="I45" s="1"/>
  <c r="F45"/>
  <c r="J45" s="1"/>
  <c r="N45" s="1"/>
  <c r="O45" s="1"/>
  <c r="F44"/>
  <c r="M43"/>
  <c r="I43" s="1"/>
  <c r="F43"/>
  <c r="J43" s="1"/>
  <c r="N43" s="1"/>
  <c r="O43" s="1"/>
  <c r="F42"/>
  <c r="M41"/>
  <c r="I41" s="1"/>
  <c r="F41"/>
  <c r="J41" s="1"/>
  <c r="N41" s="1"/>
  <c r="O41" s="1"/>
  <c r="F40"/>
  <c r="M39"/>
  <c r="I39" s="1"/>
  <c r="F39"/>
  <c r="J39" s="1"/>
  <c r="N39" s="1"/>
  <c r="O39" s="1"/>
  <c r="F38"/>
  <c r="F37"/>
  <c r="J37" s="1"/>
  <c r="I36"/>
  <c r="F36"/>
  <c r="S36" s="1"/>
  <c r="T36" s="1"/>
  <c r="F35"/>
  <c r="F34"/>
  <c r="J34" s="1"/>
  <c r="F32"/>
  <c r="F31"/>
  <c r="S31" s="1"/>
  <c r="T31" s="1"/>
  <c r="F30"/>
  <c r="F29"/>
  <c r="G29" s="1"/>
  <c r="H29" s="1"/>
  <c r="F28"/>
  <c r="F26"/>
  <c r="G26" s="1"/>
  <c r="H26" s="1"/>
  <c r="F25"/>
  <c r="F24"/>
  <c r="J24" s="1"/>
  <c r="F22"/>
  <c r="F21"/>
  <c r="S21" s="1"/>
  <c r="T21" s="1"/>
  <c r="F20"/>
  <c r="F19"/>
  <c r="G19" s="1"/>
  <c r="H19" s="1"/>
  <c r="F18"/>
  <c r="F17"/>
  <c r="G17" s="1"/>
  <c r="H17" s="1"/>
  <c r="G79" l="1"/>
  <c r="T79" s="1"/>
  <c r="H79"/>
  <c r="H255"/>
  <c r="H89"/>
  <c r="T136"/>
  <c r="T336"/>
  <c r="T538"/>
  <c r="K86"/>
  <c r="L86" s="1"/>
  <c r="H65"/>
  <c r="K561"/>
  <c r="L561" s="1"/>
  <c r="H558"/>
  <c r="T558"/>
  <c r="H559"/>
  <c r="T559"/>
  <c r="H560"/>
  <c r="T560"/>
  <c r="H190"/>
  <c r="H275"/>
  <c r="T275"/>
  <c r="T263" s="1"/>
  <c r="H555"/>
  <c r="T555"/>
  <c r="H561"/>
  <c r="T561"/>
  <c r="M158"/>
  <c r="T158"/>
  <c r="T157" s="1"/>
  <c r="H530"/>
  <c r="T530"/>
  <c r="H556"/>
  <c r="T556"/>
  <c r="T516"/>
  <c r="H518"/>
  <c r="T518"/>
  <c r="T501" s="1"/>
  <c r="H557"/>
  <c r="T557"/>
  <c r="H289"/>
  <c r="H553"/>
  <c r="T553"/>
  <c r="H536"/>
  <c r="G536"/>
  <c r="T536" s="1"/>
  <c r="H83"/>
  <c r="S344"/>
  <c r="G344"/>
  <c r="T344" s="1"/>
  <c r="F347"/>
  <c r="G347" s="1"/>
  <c r="T347" s="1"/>
  <c r="G346"/>
  <c r="T346" s="1"/>
  <c r="N84"/>
  <c r="O84" s="1"/>
  <c r="P84" s="1"/>
  <c r="K267"/>
  <c r="L267" s="1"/>
  <c r="F114"/>
  <c r="G113"/>
  <c r="T113" s="1"/>
  <c r="H483"/>
  <c r="G483"/>
  <c r="T483" s="1"/>
  <c r="T480" s="1"/>
  <c r="K172"/>
  <c r="L172" s="1"/>
  <c r="J104"/>
  <c r="G104"/>
  <c r="T104" s="1"/>
  <c r="G119"/>
  <c r="T119" s="1"/>
  <c r="G128"/>
  <c r="S138"/>
  <c r="G138"/>
  <c r="T138" s="1"/>
  <c r="J140"/>
  <c r="N140" s="1"/>
  <c r="O140" s="1"/>
  <c r="G140"/>
  <c r="T140" s="1"/>
  <c r="J143"/>
  <c r="K143" s="1"/>
  <c r="G143"/>
  <c r="T143" s="1"/>
  <c r="J146"/>
  <c r="G146"/>
  <c r="T146" s="1"/>
  <c r="J150"/>
  <c r="N150" s="1"/>
  <c r="O150" s="1"/>
  <c r="G150"/>
  <c r="T150" s="1"/>
  <c r="S159"/>
  <c r="G159"/>
  <c r="T159" s="1"/>
  <c r="S163"/>
  <c r="G163"/>
  <c r="T163" s="1"/>
  <c r="J167"/>
  <c r="N167" s="1"/>
  <c r="O167" s="1"/>
  <c r="G167"/>
  <c r="T167" s="1"/>
  <c r="S169"/>
  <c r="G169"/>
  <c r="T169" s="1"/>
  <c r="S175"/>
  <c r="G175"/>
  <c r="T175" s="1"/>
  <c r="G179"/>
  <c r="S183"/>
  <c r="G183"/>
  <c r="T183" s="1"/>
  <c r="G187"/>
  <c r="S192"/>
  <c r="G192"/>
  <c r="T192" s="1"/>
  <c r="G196"/>
  <c r="G239"/>
  <c r="G247"/>
  <c r="J251"/>
  <c r="G251"/>
  <c r="T251" s="1"/>
  <c r="H269"/>
  <c r="G269"/>
  <c r="T269" s="1"/>
  <c r="H279"/>
  <c r="G279"/>
  <c r="T279" s="1"/>
  <c r="J311"/>
  <c r="G311"/>
  <c r="T311" s="1"/>
  <c r="S313"/>
  <c r="G313"/>
  <c r="T313" s="1"/>
  <c r="J315"/>
  <c r="G315"/>
  <c r="T315" s="1"/>
  <c r="J356"/>
  <c r="G356"/>
  <c r="T356" s="1"/>
  <c r="S371"/>
  <c r="G371"/>
  <c r="T371" s="1"/>
  <c r="G378"/>
  <c r="G382"/>
  <c r="S388"/>
  <c r="G388"/>
  <c r="T388" s="1"/>
  <c r="J390"/>
  <c r="G390"/>
  <c r="T390" s="1"/>
  <c r="J396"/>
  <c r="N396" s="1"/>
  <c r="O396" s="1"/>
  <c r="G396"/>
  <c r="T396" s="1"/>
  <c r="J403"/>
  <c r="K403" s="1"/>
  <c r="G403"/>
  <c r="T403" s="1"/>
  <c r="S405"/>
  <c r="G405"/>
  <c r="T405" s="1"/>
  <c r="J407"/>
  <c r="N407" s="1"/>
  <c r="O407" s="1"/>
  <c r="G407"/>
  <c r="T407" s="1"/>
  <c r="S415"/>
  <c r="G415"/>
  <c r="J454"/>
  <c r="G454"/>
  <c r="T454" s="1"/>
  <c r="G458"/>
  <c r="J462"/>
  <c r="G462"/>
  <c r="T462" s="1"/>
  <c r="S466"/>
  <c r="G466"/>
  <c r="J470"/>
  <c r="G470"/>
  <c r="T470" s="1"/>
  <c r="G474"/>
  <c r="J478"/>
  <c r="G478"/>
  <c r="T478" s="1"/>
  <c r="H487"/>
  <c r="G487"/>
  <c r="T487" s="1"/>
  <c r="H491"/>
  <c r="G491"/>
  <c r="T491" s="1"/>
  <c r="H495"/>
  <c r="G495"/>
  <c r="T495" s="1"/>
  <c r="H499"/>
  <c r="G499"/>
  <c r="T499" s="1"/>
  <c r="G504"/>
  <c r="G95"/>
  <c r="S123"/>
  <c r="G123"/>
  <c r="T123" s="1"/>
  <c r="G126"/>
  <c r="S132"/>
  <c r="G132"/>
  <c r="T132" s="1"/>
  <c r="J199"/>
  <c r="K199" s="1"/>
  <c r="L199" s="1"/>
  <c r="G199"/>
  <c r="T199" s="1"/>
  <c r="S202"/>
  <c r="G202"/>
  <c r="T202" s="1"/>
  <c r="S204"/>
  <c r="G204"/>
  <c r="T204" s="1"/>
  <c r="G209"/>
  <c r="S213"/>
  <c r="G213"/>
  <c r="T213" s="1"/>
  <c r="G217"/>
  <c r="S221"/>
  <c r="G221"/>
  <c r="G227"/>
  <c r="S231"/>
  <c r="G231"/>
  <c r="T231" s="1"/>
  <c r="G235"/>
  <c r="S241"/>
  <c r="G241"/>
  <c r="T241" s="1"/>
  <c r="G245"/>
  <c r="H257"/>
  <c r="G257"/>
  <c r="T257" s="1"/>
  <c r="S264"/>
  <c r="G264"/>
  <c r="T264" s="1"/>
  <c r="H268"/>
  <c r="G268"/>
  <c r="T268" s="1"/>
  <c r="G288"/>
  <c r="H291"/>
  <c r="G291"/>
  <c r="T291" s="1"/>
  <c r="G299"/>
  <c r="G303"/>
  <c r="G307"/>
  <c r="S316"/>
  <c r="G316"/>
  <c r="J319"/>
  <c r="N319" s="1"/>
  <c r="O319" s="1"/>
  <c r="G319"/>
  <c r="T319" s="1"/>
  <c r="S323"/>
  <c r="G323"/>
  <c r="T323" s="1"/>
  <c r="S325"/>
  <c r="G325"/>
  <c r="T325" s="1"/>
  <c r="S332"/>
  <c r="G332"/>
  <c r="T332" s="1"/>
  <c r="S335"/>
  <c r="G335"/>
  <c r="T335" s="1"/>
  <c r="J352"/>
  <c r="G352"/>
  <c r="T352" s="1"/>
  <c r="J354"/>
  <c r="N354" s="1"/>
  <c r="O354" s="1"/>
  <c r="G354"/>
  <c r="T354" s="1"/>
  <c r="S358"/>
  <c r="G358"/>
  <c r="T358" s="1"/>
  <c r="S362"/>
  <c r="G362"/>
  <c r="T362" s="1"/>
  <c r="J365"/>
  <c r="G365"/>
  <c r="T365" s="1"/>
  <c r="J369"/>
  <c r="G369"/>
  <c r="T369" s="1"/>
  <c r="S384"/>
  <c r="G384"/>
  <c r="T384" s="1"/>
  <c r="J386"/>
  <c r="K386" s="1"/>
  <c r="L386" s="1"/>
  <c r="G386"/>
  <c r="T386" s="1"/>
  <c r="S392"/>
  <c r="G392"/>
  <c r="T392" s="1"/>
  <c r="J394"/>
  <c r="N394" s="1"/>
  <c r="O394" s="1"/>
  <c r="G394"/>
  <c r="T394" s="1"/>
  <c r="H402"/>
  <c r="G402"/>
  <c r="T402" s="1"/>
  <c r="S416"/>
  <c r="G416"/>
  <c r="T416" s="1"/>
  <c r="S418"/>
  <c r="G418"/>
  <c r="T418" s="1"/>
  <c r="G429"/>
  <c r="S433"/>
  <c r="G433"/>
  <c r="T433" s="1"/>
  <c r="G436"/>
  <c r="J440"/>
  <c r="G440"/>
  <c r="T440" s="1"/>
  <c r="H510"/>
  <c r="G510"/>
  <c r="T510" s="1"/>
  <c r="H514"/>
  <c r="G514"/>
  <c r="T514" s="1"/>
  <c r="H520"/>
  <c r="G520"/>
  <c r="T520" s="1"/>
  <c r="S522"/>
  <c r="G522"/>
  <c r="T522" s="1"/>
  <c r="J524"/>
  <c r="G524"/>
  <c r="T524" s="1"/>
  <c r="G101"/>
  <c r="T101" s="1"/>
  <c r="J103"/>
  <c r="K103" s="1"/>
  <c r="L103" s="1"/>
  <c r="G103"/>
  <c r="T103" s="1"/>
  <c r="S107"/>
  <c r="G107"/>
  <c r="T107" s="1"/>
  <c r="J121"/>
  <c r="G121"/>
  <c r="S127"/>
  <c r="G127"/>
  <c r="T127" s="1"/>
  <c r="J130"/>
  <c r="G130"/>
  <c r="G137"/>
  <c r="T137" s="1"/>
  <c r="G139"/>
  <c r="J142"/>
  <c r="N142" s="1"/>
  <c r="O142" s="1"/>
  <c r="G142"/>
  <c r="T142" s="1"/>
  <c r="S144"/>
  <c r="G144"/>
  <c r="T144" s="1"/>
  <c r="S148"/>
  <c r="G148"/>
  <c r="T148" s="1"/>
  <c r="J152"/>
  <c r="N152" s="1"/>
  <c r="O152" s="1"/>
  <c r="G152"/>
  <c r="T152" s="1"/>
  <c r="J161"/>
  <c r="G161"/>
  <c r="T161" s="1"/>
  <c r="J165"/>
  <c r="G165"/>
  <c r="T165" s="1"/>
  <c r="G173"/>
  <c r="J177"/>
  <c r="G177"/>
  <c r="G181"/>
  <c r="J185"/>
  <c r="G185"/>
  <c r="T185" s="1"/>
  <c r="G189"/>
  <c r="J194"/>
  <c r="G194"/>
  <c r="T194" s="1"/>
  <c r="G198"/>
  <c r="G237"/>
  <c r="S249"/>
  <c r="G249"/>
  <c r="T249" s="1"/>
  <c r="G253"/>
  <c r="H258"/>
  <c r="G258"/>
  <c r="T258" s="1"/>
  <c r="H276"/>
  <c r="G276"/>
  <c r="T276" s="1"/>
  <c r="H281"/>
  <c r="G281"/>
  <c r="T281" s="1"/>
  <c r="J314"/>
  <c r="N314" s="1"/>
  <c r="O314" s="1"/>
  <c r="G314"/>
  <c r="T314" s="1"/>
  <c r="S327"/>
  <c r="G327"/>
  <c r="T327" s="1"/>
  <c r="J329"/>
  <c r="G329"/>
  <c r="T329" s="1"/>
  <c r="S372"/>
  <c r="G372"/>
  <c r="T372" s="1"/>
  <c r="G376"/>
  <c r="S380"/>
  <c r="G380"/>
  <c r="T380" s="1"/>
  <c r="S387"/>
  <c r="G387"/>
  <c r="T387" s="1"/>
  <c r="S389"/>
  <c r="G389"/>
  <c r="T389" s="1"/>
  <c r="J395"/>
  <c r="K395" s="1"/>
  <c r="L395" s="1"/>
  <c r="G395"/>
  <c r="T395" s="1"/>
  <c r="S404"/>
  <c r="G404"/>
  <c r="T404" s="1"/>
  <c r="S406"/>
  <c r="G406"/>
  <c r="T406" s="1"/>
  <c r="G413"/>
  <c r="T413" s="1"/>
  <c r="S420"/>
  <c r="G420"/>
  <c r="T420" s="1"/>
  <c r="S423"/>
  <c r="G423"/>
  <c r="T423" s="1"/>
  <c r="J425"/>
  <c r="N425" s="1"/>
  <c r="O425" s="1"/>
  <c r="G425"/>
  <c r="T425" s="1"/>
  <c r="G452"/>
  <c r="T452" s="1"/>
  <c r="J456"/>
  <c r="G456"/>
  <c r="T456" s="1"/>
  <c r="G460"/>
  <c r="T460" s="1"/>
  <c r="J464"/>
  <c r="G464"/>
  <c r="T464" s="1"/>
  <c r="G468"/>
  <c r="T468" s="1"/>
  <c r="J472"/>
  <c r="G472"/>
  <c r="T472" s="1"/>
  <c r="G476"/>
  <c r="T476" s="1"/>
  <c r="H485"/>
  <c r="G485"/>
  <c r="T485" s="1"/>
  <c r="H489"/>
  <c r="G489"/>
  <c r="T489" s="1"/>
  <c r="H493"/>
  <c r="G493"/>
  <c r="T493" s="1"/>
  <c r="H497"/>
  <c r="G497"/>
  <c r="T497" s="1"/>
  <c r="J502"/>
  <c r="G502"/>
  <c r="T502" s="1"/>
  <c r="H509"/>
  <c r="G509"/>
  <c r="T509" s="1"/>
  <c r="H513"/>
  <c r="G513"/>
  <c r="T513" s="1"/>
  <c r="G88"/>
  <c r="S92"/>
  <c r="G92"/>
  <c r="T92" s="1"/>
  <c r="S97"/>
  <c r="G97"/>
  <c r="T97" s="1"/>
  <c r="G100"/>
  <c r="G125"/>
  <c r="J134"/>
  <c r="G134"/>
  <c r="S149"/>
  <c r="G149"/>
  <c r="T149" s="1"/>
  <c r="S154"/>
  <c r="G154"/>
  <c r="T154" s="1"/>
  <c r="S200"/>
  <c r="G200"/>
  <c r="J207"/>
  <c r="G207"/>
  <c r="T207" s="1"/>
  <c r="G211"/>
  <c r="J215"/>
  <c r="G215"/>
  <c r="T215" s="1"/>
  <c r="S219"/>
  <c r="G219"/>
  <c r="J223"/>
  <c r="G223"/>
  <c r="T223" s="1"/>
  <c r="J225"/>
  <c r="G225"/>
  <c r="G229"/>
  <c r="J233"/>
  <c r="G233"/>
  <c r="T233" s="1"/>
  <c r="S238"/>
  <c r="G238"/>
  <c r="T238" s="1"/>
  <c r="J243"/>
  <c r="G243"/>
  <c r="H259"/>
  <c r="G259"/>
  <c r="T259" s="1"/>
  <c r="H270"/>
  <c r="G270"/>
  <c r="T270" s="1"/>
  <c r="H280"/>
  <c r="G280"/>
  <c r="T280" s="1"/>
  <c r="S286"/>
  <c r="G286"/>
  <c r="T286" s="1"/>
  <c r="G296"/>
  <c r="S301"/>
  <c r="G301"/>
  <c r="T301" s="1"/>
  <c r="S305"/>
  <c r="G305"/>
  <c r="J309"/>
  <c r="G309"/>
  <c r="T309" s="1"/>
  <c r="J317"/>
  <c r="G317"/>
  <c r="S320"/>
  <c r="G320"/>
  <c r="T320" s="1"/>
  <c r="J322"/>
  <c r="G322"/>
  <c r="T322" s="1"/>
  <c r="S324"/>
  <c r="G324"/>
  <c r="J326"/>
  <c r="G326"/>
  <c r="J330"/>
  <c r="G330"/>
  <c r="S350"/>
  <c r="G350"/>
  <c r="J355"/>
  <c r="G355"/>
  <c r="T355" s="1"/>
  <c r="J360"/>
  <c r="G360"/>
  <c r="G363"/>
  <c r="T363" s="1"/>
  <c r="S367"/>
  <c r="G367"/>
  <c r="J391"/>
  <c r="K391" s="1"/>
  <c r="L391" s="1"/>
  <c r="G391"/>
  <c r="T391" s="1"/>
  <c r="S393"/>
  <c r="G393"/>
  <c r="J399"/>
  <c r="G399"/>
  <c r="J401"/>
  <c r="K401" s="1"/>
  <c r="L401" s="1"/>
  <c r="G401"/>
  <c r="T401" s="1"/>
  <c r="S409"/>
  <c r="G409"/>
  <c r="T409" s="1"/>
  <c r="S417"/>
  <c r="G417"/>
  <c r="J419"/>
  <c r="G419"/>
  <c r="T419" s="1"/>
  <c r="J422"/>
  <c r="G422"/>
  <c r="G427"/>
  <c r="T427" s="1"/>
  <c r="J431"/>
  <c r="G431"/>
  <c r="J434"/>
  <c r="G434"/>
  <c r="T434" s="1"/>
  <c r="G438"/>
  <c r="S505"/>
  <c r="G505"/>
  <c r="T505" s="1"/>
  <c r="H508"/>
  <c r="G508"/>
  <c r="T508" s="1"/>
  <c r="H512"/>
  <c r="G512"/>
  <c r="T512" s="1"/>
  <c r="S523"/>
  <c r="G523"/>
  <c r="T523" s="1"/>
  <c r="J527"/>
  <c r="G527"/>
  <c r="T527" s="1"/>
  <c r="N87"/>
  <c r="O87" s="1"/>
  <c r="P87" s="1"/>
  <c r="N278"/>
  <c r="O278" s="1"/>
  <c r="P278" s="1"/>
  <c r="K556"/>
  <c r="L556" s="1"/>
  <c r="K82"/>
  <c r="H113"/>
  <c r="H263"/>
  <c r="K518"/>
  <c r="L518" s="1"/>
  <c r="N109"/>
  <c r="O109" s="1"/>
  <c r="P109" s="1"/>
  <c r="J113"/>
  <c r="S146"/>
  <c r="L143"/>
  <c r="N85"/>
  <c r="O85" s="1"/>
  <c r="P85" s="1"/>
  <c r="N110"/>
  <c r="O110" s="1"/>
  <c r="P110" s="1"/>
  <c r="J367"/>
  <c r="L403"/>
  <c r="N519"/>
  <c r="O519" s="1"/>
  <c r="P519" s="1"/>
  <c r="N555"/>
  <c r="O555" s="1"/>
  <c r="P555" s="1"/>
  <c r="N557"/>
  <c r="O557" s="1"/>
  <c r="P557" s="1"/>
  <c r="N560"/>
  <c r="O560" s="1"/>
  <c r="P560" s="1"/>
  <c r="J344"/>
  <c r="H480"/>
  <c r="S296"/>
  <c r="J523"/>
  <c r="K523" s="1"/>
  <c r="L523" s="1"/>
  <c r="J380"/>
  <c r="K380" s="1"/>
  <c r="L380" s="1"/>
  <c r="H92"/>
  <c r="S356"/>
  <c r="S365"/>
  <c r="S440"/>
  <c r="S470"/>
  <c r="J88"/>
  <c r="J92"/>
  <c r="S134"/>
  <c r="H401"/>
  <c r="J436"/>
  <c r="G56"/>
  <c r="H56" s="1"/>
  <c r="G74"/>
  <c r="H140"/>
  <c r="N149"/>
  <c r="O149" s="1"/>
  <c r="P149" s="1"/>
  <c r="J231"/>
  <c r="J286"/>
  <c r="N286" s="1"/>
  <c r="O286" s="1"/>
  <c r="P286" s="1"/>
  <c r="H369"/>
  <c r="S378"/>
  <c r="H419"/>
  <c r="H454"/>
  <c r="J466"/>
  <c r="N466" s="1"/>
  <c r="O466" s="1"/>
  <c r="P466" s="1"/>
  <c r="S474"/>
  <c r="J504"/>
  <c r="S510"/>
  <c r="G545"/>
  <c r="G547"/>
  <c r="J549"/>
  <c r="J249"/>
  <c r="S303"/>
  <c r="J305"/>
  <c r="S360"/>
  <c r="S369"/>
  <c r="J429"/>
  <c r="N429" s="1"/>
  <c r="O429" s="1"/>
  <c r="P429" s="1"/>
  <c r="J438"/>
  <c r="S458"/>
  <c r="H470"/>
  <c r="G37"/>
  <c r="H37" s="1"/>
  <c r="J67"/>
  <c r="H146"/>
  <c r="N148"/>
  <c r="O148" s="1"/>
  <c r="P148" s="1"/>
  <c r="J213"/>
  <c r="J303"/>
  <c r="H356"/>
  <c r="S419"/>
  <c r="S454"/>
  <c r="S547"/>
  <c r="S29"/>
  <c r="T29" s="1"/>
  <c r="J31"/>
  <c r="J19"/>
  <c r="G21"/>
  <c r="H21" s="1"/>
  <c r="J29"/>
  <c r="G31"/>
  <c r="H31" s="1"/>
  <c r="G34"/>
  <c r="H34" s="1"/>
  <c r="S54"/>
  <c r="T54" s="1"/>
  <c r="S63"/>
  <c r="T63" s="1"/>
  <c r="S88"/>
  <c r="J119"/>
  <c r="S121"/>
  <c r="J139"/>
  <c r="H161"/>
  <c r="J200"/>
  <c r="J219"/>
  <c r="S229"/>
  <c r="H332"/>
  <c r="J358"/>
  <c r="J393"/>
  <c r="K393" s="1"/>
  <c r="L393" s="1"/>
  <c r="H403"/>
  <c r="S427"/>
  <c r="S436"/>
  <c r="J452"/>
  <c r="N452" s="1"/>
  <c r="O452" s="1"/>
  <c r="P452" s="1"/>
  <c r="J468"/>
  <c r="S504"/>
  <c r="G551"/>
  <c r="J54"/>
  <c r="J63"/>
  <c r="S211"/>
  <c r="J229"/>
  <c r="J241"/>
  <c r="S247"/>
  <c r="J276"/>
  <c r="J279"/>
  <c r="S281"/>
  <c r="J296"/>
  <c r="S390"/>
  <c r="S399"/>
  <c r="S422"/>
  <c r="S425"/>
  <c r="J427"/>
  <c r="S431"/>
  <c r="G69"/>
  <c r="H69" s="1"/>
  <c r="S104"/>
  <c r="J128"/>
  <c r="J137"/>
  <c r="N137" s="1"/>
  <c r="O137" s="1"/>
  <c r="P137" s="1"/>
  <c r="S161"/>
  <c r="J163"/>
  <c r="J211"/>
  <c r="K211" s="1"/>
  <c r="L211" s="1"/>
  <c r="H213"/>
  <c r="S270"/>
  <c r="H311"/>
  <c r="J313"/>
  <c r="K313" s="1"/>
  <c r="L313" s="1"/>
  <c r="S354"/>
  <c r="J372"/>
  <c r="J387"/>
  <c r="K387" s="1"/>
  <c r="L387" s="1"/>
  <c r="J388"/>
  <c r="K388" s="1"/>
  <c r="L388" s="1"/>
  <c r="J389"/>
  <c r="K389" s="1"/>
  <c r="L389" s="1"/>
  <c r="H396"/>
  <c r="H425"/>
  <c r="J458"/>
  <c r="J460"/>
  <c r="S462"/>
  <c r="J474"/>
  <c r="K474" s="1"/>
  <c r="L474" s="1"/>
  <c r="J476"/>
  <c r="S478"/>
  <c r="J510"/>
  <c r="J512"/>
  <c r="K512" s="1"/>
  <c r="L512" s="1"/>
  <c r="S551"/>
  <c r="S19"/>
  <c r="T19" s="1"/>
  <c r="J21"/>
  <c r="H104"/>
  <c r="H163"/>
  <c r="H165"/>
  <c r="H185"/>
  <c r="J204"/>
  <c r="J221"/>
  <c r="H251"/>
  <c r="H313"/>
  <c r="H325"/>
  <c r="S326"/>
  <c r="J332"/>
  <c r="J335"/>
  <c r="K335" s="1"/>
  <c r="L335" s="1"/>
  <c r="H388"/>
  <c r="H389"/>
  <c r="H462"/>
  <c r="H478"/>
  <c r="S508"/>
  <c r="S50"/>
  <c r="T50" s="1"/>
  <c r="J52"/>
  <c r="S58"/>
  <c r="T58" s="1"/>
  <c r="J61"/>
  <c r="N61" s="1"/>
  <c r="O61" s="1"/>
  <c r="P61" s="1"/>
  <c r="S69"/>
  <c r="T69" s="1"/>
  <c r="S71"/>
  <c r="T71" s="1"/>
  <c r="J73"/>
  <c r="S95"/>
  <c r="J97"/>
  <c r="S100"/>
  <c r="J107"/>
  <c r="J123"/>
  <c r="K123" s="1"/>
  <c r="L123" s="1"/>
  <c r="L122" s="1"/>
  <c r="S130"/>
  <c r="J132"/>
  <c r="H138"/>
  <c r="J144"/>
  <c r="S150"/>
  <c r="S152"/>
  <c r="J154"/>
  <c r="J159"/>
  <c r="S165"/>
  <c r="S167"/>
  <c r="J169"/>
  <c r="S173"/>
  <c r="J175"/>
  <c r="S181"/>
  <c r="J183"/>
  <c r="S189"/>
  <c r="J192"/>
  <c r="S198"/>
  <c r="J202"/>
  <c r="J270"/>
  <c r="J281"/>
  <c r="K281" s="1"/>
  <c r="L281" s="1"/>
  <c r="S288"/>
  <c r="S299"/>
  <c r="J301"/>
  <c r="S307"/>
  <c r="S311"/>
  <c r="S314"/>
  <c r="S317"/>
  <c r="S319"/>
  <c r="J323"/>
  <c r="J324"/>
  <c r="J325"/>
  <c r="J350"/>
  <c r="H352"/>
  <c r="H354"/>
  <c r="H358"/>
  <c r="S363"/>
  <c r="H372"/>
  <c r="S376"/>
  <c r="J378"/>
  <c r="H380"/>
  <c r="S382"/>
  <c r="K394"/>
  <c r="S396"/>
  <c r="S402"/>
  <c r="J404"/>
  <c r="K404" s="1"/>
  <c r="L404" s="1"/>
  <c r="J405"/>
  <c r="K405" s="1"/>
  <c r="L405" s="1"/>
  <c r="J406"/>
  <c r="K406" s="1"/>
  <c r="L406" s="1"/>
  <c r="H409"/>
  <c r="S413"/>
  <c r="J415"/>
  <c r="J416"/>
  <c r="N416" s="1"/>
  <c r="O416" s="1"/>
  <c r="P416" s="1"/>
  <c r="J417"/>
  <c r="J418"/>
  <c r="S429"/>
  <c r="H433"/>
  <c r="H434"/>
  <c r="S438"/>
  <c r="S452"/>
  <c r="H456"/>
  <c r="S460"/>
  <c r="H464"/>
  <c r="S468"/>
  <c r="H472"/>
  <c r="S476"/>
  <c r="H502"/>
  <c r="J508"/>
  <c r="S512"/>
  <c r="J516"/>
  <c r="H522"/>
  <c r="H524"/>
  <c r="S527"/>
  <c r="J542"/>
  <c r="G544"/>
  <c r="G549"/>
  <c r="S553"/>
  <c r="G24"/>
  <c r="H24" s="1"/>
  <c r="S26"/>
  <c r="T26" s="1"/>
  <c r="K39"/>
  <c r="K41"/>
  <c r="K43"/>
  <c r="K45"/>
  <c r="L45" s="1"/>
  <c r="S48"/>
  <c r="T48" s="1"/>
  <c r="J50"/>
  <c r="N50" s="1"/>
  <c r="O50" s="1"/>
  <c r="P50" s="1"/>
  <c r="G52"/>
  <c r="H52" s="1"/>
  <c r="S56"/>
  <c r="T56" s="1"/>
  <c r="J58"/>
  <c r="N58" s="1"/>
  <c r="O58" s="1"/>
  <c r="P58" s="1"/>
  <c r="G61"/>
  <c r="H61" s="1"/>
  <c r="S67"/>
  <c r="T67" s="1"/>
  <c r="G71"/>
  <c r="H71" s="1"/>
  <c r="G73"/>
  <c r="H73" s="1"/>
  <c r="G75"/>
  <c r="H75" s="1"/>
  <c r="J95"/>
  <c r="K95" s="1"/>
  <c r="L95" s="1"/>
  <c r="H97"/>
  <c r="J100"/>
  <c r="H107"/>
  <c r="S119"/>
  <c r="H123"/>
  <c r="H122" s="1"/>
  <c r="S128"/>
  <c r="H132"/>
  <c r="S137"/>
  <c r="S139"/>
  <c r="H144"/>
  <c r="H152"/>
  <c r="H154"/>
  <c r="H159"/>
  <c r="H167"/>
  <c r="H169"/>
  <c r="J173"/>
  <c r="K173" s="1"/>
  <c r="L173" s="1"/>
  <c r="H175"/>
  <c r="S179"/>
  <c r="J181"/>
  <c r="K181" s="1"/>
  <c r="L181" s="1"/>
  <c r="H183"/>
  <c r="S187"/>
  <c r="J189"/>
  <c r="N189" s="1"/>
  <c r="O189" s="1"/>
  <c r="P189" s="1"/>
  <c r="H192"/>
  <c r="S196"/>
  <c r="J198"/>
  <c r="K198" s="1"/>
  <c r="L198" s="1"/>
  <c r="H202"/>
  <c r="H204"/>
  <c r="S209"/>
  <c r="S217"/>
  <c r="S227"/>
  <c r="H231"/>
  <c r="S235"/>
  <c r="H241"/>
  <c r="S245"/>
  <c r="J247"/>
  <c r="N247" s="1"/>
  <c r="O247" s="1"/>
  <c r="P247" s="1"/>
  <c r="H249"/>
  <c r="S253"/>
  <c r="S257"/>
  <c r="S268"/>
  <c r="S279"/>
  <c r="J288"/>
  <c r="N288" s="1"/>
  <c r="O288" s="1"/>
  <c r="P288" s="1"/>
  <c r="J299"/>
  <c r="H301"/>
  <c r="J307"/>
  <c r="H314"/>
  <c r="J316"/>
  <c r="H319"/>
  <c r="H323"/>
  <c r="S352"/>
  <c r="J362"/>
  <c r="J363"/>
  <c r="J371"/>
  <c r="J376"/>
  <c r="J382"/>
  <c r="S394"/>
  <c r="J402"/>
  <c r="N402" s="1"/>
  <c r="O402" s="1"/>
  <c r="P402" s="1"/>
  <c r="J413"/>
  <c r="G542"/>
  <c r="J553"/>
  <c r="K553" s="1"/>
  <c r="L553" s="1"/>
  <c r="J17"/>
  <c r="N17" s="1"/>
  <c r="O17" s="1"/>
  <c r="P17" s="1"/>
  <c r="S24"/>
  <c r="T24" s="1"/>
  <c r="J26"/>
  <c r="S34"/>
  <c r="T34" s="1"/>
  <c r="S37"/>
  <c r="T37" s="1"/>
  <c r="S39"/>
  <c r="T39" s="1"/>
  <c r="S41"/>
  <c r="T41" s="1"/>
  <c r="S43"/>
  <c r="T43" s="1"/>
  <c r="S45"/>
  <c r="T45" s="1"/>
  <c r="J48"/>
  <c r="K48" s="1"/>
  <c r="L48" s="1"/>
  <c r="H74"/>
  <c r="S75"/>
  <c r="T75" s="1"/>
  <c r="S177"/>
  <c r="J179"/>
  <c r="S185"/>
  <c r="J187"/>
  <c r="S194"/>
  <c r="J196"/>
  <c r="S207"/>
  <c r="J209"/>
  <c r="K209" s="1"/>
  <c r="L209" s="1"/>
  <c r="S215"/>
  <c r="J217"/>
  <c r="K217" s="1"/>
  <c r="L217" s="1"/>
  <c r="S223"/>
  <c r="S225"/>
  <c r="J227"/>
  <c r="S233"/>
  <c r="J235"/>
  <c r="N235" s="1"/>
  <c r="O235" s="1"/>
  <c r="P235" s="1"/>
  <c r="S243"/>
  <c r="J245"/>
  <c r="N245" s="1"/>
  <c r="O245" s="1"/>
  <c r="P245" s="1"/>
  <c r="S251"/>
  <c r="J253"/>
  <c r="N253" s="1"/>
  <c r="O253" s="1"/>
  <c r="P253" s="1"/>
  <c r="J268"/>
  <c r="K268" s="1"/>
  <c r="L268" s="1"/>
  <c r="S309"/>
  <c r="S330"/>
  <c r="H335"/>
  <c r="K354"/>
  <c r="H362"/>
  <c r="H371"/>
  <c r="H394"/>
  <c r="S407"/>
  <c r="S434"/>
  <c r="S456"/>
  <c r="S464"/>
  <c r="S472"/>
  <c r="H486"/>
  <c r="H488"/>
  <c r="H490"/>
  <c r="H492"/>
  <c r="H494"/>
  <c r="H496"/>
  <c r="H498"/>
  <c r="H500"/>
  <c r="S502"/>
  <c r="S514"/>
  <c r="H516"/>
  <c r="S520"/>
  <c r="H523"/>
  <c r="N523"/>
  <c r="O523" s="1"/>
  <c r="P523" s="1"/>
  <c r="S524"/>
  <c r="S17"/>
  <c r="T17" s="1"/>
  <c r="G36"/>
  <c r="H36" s="1"/>
  <c r="G39"/>
  <c r="H39" s="1"/>
  <c r="G41"/>
  <c r="H41" s="1"/>
  <c r="G43"/>
  <c r="H43" s="1"/>
  <c r="G45"/>
  <c r="H45" s="1"/>
  <c r="K71"/>
  <c r="L71" s="1"/>
  <c r="S140"/>
  <c r="S142"/>
  <c r="H148"/>
  <c r="H149"/>
  <c r="H150"/>
  <c r="K152"/>
  <c r="K167"/>
  <c r="J237"/>
  <c r="K237" s="1"/>
  <c r="L237" s="1"/>
  <c r="S259"/>
  <c r="N313"/>
  <c r="O313" s="1"/>
  <c r="P313" s="1"/>
  <c r="K314"/>
  <c r="K319"/>
  <c r="J409"/>
  <c r="J433"/>
  <c r="N433" s="1"/>
  <c r="O433" s="1"/>
  <c r="P433" s="1"/>
  <c r="J514"/>
  <c r="J520"/>
  <c r="J522"/>
  <c r="H238"/>
  <c r="L82"/>
  <c r="S18"/>
  <c r="T18" s="1"/>
  <c r="J18"/>
  <c r="G18"/>
  <c r="H18" s="1"/>
  <c r="N19"/>
  <c r="O19" s="1"/>
  <c r="P19" s="1"/>
  <c r="K19"/>
  <c r="L19" s="1"/>
  <c r="S22"/>
  <c r="T22" s="1"/>
  <c r="J22"/>
  <c r="G22"/>
  <c r="H22" s="1"/>
  <c r="N24"/>
  <c r="O24" s="1"/>
  <c r="P24" s="1"/>
  <c r="K24"/>
  <c r="L24" s="1"/>
  <c r="S28"/>
  <c r="T28" s="1"/>
  <c r="J28"/>
  <c r="G28"/>
  <c r="H28" s="1"/>
  <c r="N29"/>
  <c r="O29" s="1"/>
  <c r="P29" s="1"/>
  <c r="K29"/>
  <c r="L29" s="1"/>
  <c r="S32"/>
  <c r="T32" s="1"/>
  <c r="J32"/>
  <c r="G32"/>
  <c r="H32" s="1"/>
  <c r="N34"/>
  <c r="O34" s="1"/>
  <c r="P34" s="1"/>
  <c r="K34"/>
  <c r="L34" s="1"/>
  <c r="N37"/>
  <c r="O37" s="1"/>
  <c r="P37" s="1"/>
  <c r="K37"/>
  <c r="L37" s="1"/>
  <c r="S49"/>
  <c r="T49" s="1"/>
  <c r="J49"/>
  <c r="G49"/>
  <c r="H49" s="1"/>
  <c r="S53"/>
  <c r="T53" s="1"/>
  <c r="J53"/>
  <c r="G53"/>
  <c r="H53" s="1"/>
  <c r="N54"/>
  <c r="O54" s="1"/>
  <c r="P54" s="1"/>
  <c r="K54"/>
  <c r="L54" s="1"/>
  <c r="S57"/>
  <c r="T57" s="1"/>
  <c r="J57"/>
  <c r="G57"/>
  <c r="H57" s="1"/>
  <c r="S62"/>
  <c r="T62" s="1"/>
  <c r="J62"/>
  <c r="G62"/>
  <c r="H62" s="1"/>
  <c r="N63"/>
  <c r="O63" s="1"/>
  <c r="P63" s="1"/>
  <c r="K63"/>
  <c r="L63" s="1"/>
  <c r="S65"/>
  <c r="T65" s="1"/>
  <c r="S66"/>
  <c r="T66" s="1"/>
  <c r="J66"/>
  <c r="G66"/>
  <c r="H66" s="1"/>
  <c r="N67"/>
  <c r="O67" s="1"/>
  <c r="P67" s="1"/>
  <c r="K67"/>
  <c r="L67" s="1"/>
  <c r="P75"/>
  <c r="S76"/>
  <c r="T76" s="1"/>
  <c r="J76"/>
  <c r="G76"/>
  <c r="H76" s="1"/>
  <c r="N90"/>
  <c r="O90" s="1"/>
  <c r="P90" s="1"/>
  <c r="K90"/>
  <c r="L90" s="1"/>
  <c r="S94"/>
  <c r="J94"/>
  <c r="H94"/>
  <c r="J98"/>
  <c r="H98"/>
  <c r="S101"/>
  <c r="J102"/>
  <c r="H102"/>
  <c r="N104"/>
  <c r="O104" s="1"/>
  <c r="P104" s="1"/>
  <c r="K104"/>
  <c r="L104" s="1"/>
  <c r="S111"/>
  <c r="J111"/>
  <c r="F112"/>
  <c r="G112" s="1"/>
  <c r="T112" s="1"/>
  <c r="N113"/>
  <c r="O113" s="1"/>
  <c r="P113" s="1"/>
  <c r="K113"/>
  <c r="L113" s="1"/>
  <c r="S114"/>
  <c r="F115"/>
  <c r="G115" s="1"/>
  <c r="T115" s="1"/>
  <c r="S118"/>
  <c r="J118"/>
  <c r="H118"/>
  <c r="N119"/>
  <c r="O119" s="1"/>
  <c r="P119" s="1"/>
  <c r="K119"/>
  <c r="L119" s="1"/>
  <c r="S125"/>
  <c r="S126"/>
  <c r="N128"/>
  <c r="O128" s="1"/>
  <c r="P128" s="1"/>
  <c r="K128"/>
  <c r="L128" s="1"/>
  <c r="S133"/>
  <c r="J133"/>
  <c r="H133"/>
  <c r="N134"/>
  <c r="O134" s="1"/>
  <c r="P134" s="1"/>
  <c r="K134"/>
  <c r="L134" s="1"/>
  <c r="S136"/>
  <c r="H136"/>
  <c r="N139"/>
  <c r="O139" s="1"/>
  <c r="P139" s="1"/>
  <c r="K139"/>
  <c r="L139" s="1"/>
  <c r="P140"/>
  <c r="N144"/>
  <c r="O144" s="1"/>
  <c r="P144" s="1"/>
  <c r="K144"/>
  <c r="L144" s="1"/>
  <c r="S147"/>
  <c r="J147"/>
  <c r="H147"/>
  <c r="P150"/>
  <c r="J155"/>
  <c r="H155"/>
  <c r="S160"/>
  <c r="J160"/>
  <c r="H160"/>
  <c r="N161"/>
  <c r="O161" s="1"/>
  <c r="P161" s="1"/>
  <c r="K161"/>
  <c r="L161" s="1"/>
  <c r="S164"/>
  <c r="J164"/>
  <c r="H164"/>
  <c r="N165"/>
  <c r="O165" s="1"/>
  <c r="P165" s="1"/>
  <c r="K165"/>
  <c r="L165" s="1"/>
  <c r="S170"/>
  <c r="J170"/>
  <c r="H170"/>
  <c r="S176"/>
  <c r="J176"/>
  <c r="H176"/>
  <c r="N177"/>
  <c r="O177" s="1"/>
  <c r="P177" s="1"/>
  <c r="K177"/>
  <c r="L177" s="1"/>
  <c r="S180"/>
  <c r="J180"/>
  <c r="H180"/>
  <c r="S184"/>
  <c r="J184"/>
  <c r="H184"/>
  <c r="N185"/>
  <c r="O185" s="1"/>
  <c r="P185" s="1"/>
  <c r="K185"/>
  <c r="L185" s="1"/>
  <c r="S188"/>
  <c r="J188"/>
  <c r="H188"/>
  <c r="S193"/>
  <c r="J193"/>
  <c r="H193"/>
  <c r="N194"/>
  <c r="O194" s="1"/>
  <c r="P194" s="1"/>
  <c r="K194"/>
  <c r="L194" s="1"/>
  <c r="S197"/>
  <c r="J197"/>
  <c r="H197"/>
  <c r="N200"/>
  <c r="O200" s="1"/>
  <c r="P200" s="1"/>
  <c r="K200"/>
  <c r="L200" s="1"/>
  <c r="N203"/>
  <c r="O203" s="1"/>
  <c r="P203" s="1"/>
  <c r="K203"/>
  <c r="L203" s="1"/>
  <c r="N204"/>
  <c r="O204" s="1"/>
  <c r="P204" s="1"/>
  <c r="K204"/>
  <c r="L204" s="1"/>
  <c r="S208"/>
  <c r="J208"/>
  <c r="H208"/>
  <c r="S212"/>
  <c r="J212"/>
  <c r="H212"/>
  <c r="N213"/>
  <c r="O213" s="1"/>
  <c r="P213" s="1"/>
  <c r="K213"/>
  <c r="L213" s="1"/>
  <c r="S216"/>
  <c r="J216"/>
  <c r="H216"/>
  <c r="N217"/>
  <c r="O217" s="1"/>
  <c r="P217" s="1"/>
  <c r="S220"/>
  <c r="J220"/>
  <c r="H220"/>
  <c r="N221"/>
  <c r="O221" s="1"/>
  <c r="P221" s="1"/>
  <c r="K221"/>
  <c r="L221" s="1"/>
  <c r="N224"/>
  <c r="O224" s="1"/>
  <c r="P224" s="1"/>
  <c r="K224"/>
  <c r="L224" s="1"/>
  <c r="N225"/>
  <c r="O225" s="1"/>
  <c r="P225" s="1"/>
  <c r="K225"/>
  <c r="L225" s="1"/>
  <c r="S228"/>
  <c r="J228"/>
  <c r="H228"/>
  <c r="N229"/>
  <c r="O229" s="1"/>
  <c r="P229" s="1"/>
  <c r="K229"/>
  <c r="L229" s="1"/>
  <c r="S232"/>
  <c r="J232"/>
  <c r="H232"/>
  <c r="N233"/>
  <c r="O233" s="1"/>
  <c r="P233" s="1"/>
  <c r="K233"/>
  <c r="L233" s="1"/>
  <c r="S236"/>
  <c r="J236"/>
  <c r="H236"/>
  <c r="S239"/>
  <c r="S240"/>
  <c r="J240"/>
  <c r="H240"/>
  <c r="N241"/>
  <c r="O241" s="1"/>
  <c r="P241" s="1"/>
  <c r="K241"/>
  <c r="L241" s="1"/>
  <c r="S244"/>
  <c r="J244"/>
  <c r="H244"/>
  <c r="K245"/>
  <c r="L245" s="1"/>
  <c r="S250"/>
  <c r="J250"/>
  <c r="H250"/>
  <c r="N251"/>
  <c r="O251" s="1"/>
  <c r="P251" s="1"/>
  <c r="K251"/>
  <c r="L251" s="1"/>
  <c r="N256"/>
  <c r="O256" s="1"/>
  <c r="P256" s="1"/>
  <c r="P255" s="1"/>
  <c r="K256"/>
  <c r="L256" s="1"/>
  <c r="L255" s="1"/>
  <c r="N275"/>
  <c r="O275" s="1"/>
  <c r="P275" s="1"/>
  <c r="K275"/>
  <c r="L275" s="1"/>
  <c r="N279"/>
  <c r="O279" s="1"/>
  <c r="P279" s="1"/>
  <c r="K279"/>
  <c r="L279" s="1"/>
  <c r="N285"/>
  <c r="O285" s="1"/>
  <c r="P285" s="1"/>
  <c r="K285"/>
  <c r="L285" s="1"/>
  <c r="K286"/>
  <c r="L286" s="1"/>
  <c r="N295"/>
  <c r="O295" s="1"/>
  <c r="P295" s="1"/>
  <c r="K295"/>
  <c r="L295" s="1"/>
  <c r="S300"/>
  <c r="J300"/>
  <c r="H300"/>
  <c r="N301"/>
  <c r="O301" s="1"/>
  <c r="P301" s="1"/>
  <c r="K301"/>
  <c r="L301" s="1"/>
  <c r="S304"/>
  <c r="J304"/>
  <c r="H304"/>
  <c r="N305"/>
  <c r="O305" s="1"/>
  <c r="P305" s="1"/>
  <c r="K305"/>
  <c r="L305" s="1"/>
  <c r="S308"/>
  <c r="J308"/>
  <c r="H308"/>
  <c r="N309"/>
  <c r="O309" s="1"/>
  <c r="P309" s="1"/>
  <c r="K309"/>
  <c r="L309" s="1"/>
  <c r="S310"/>
  <c r="J310"/>
  <c r="H310"/>
  <c r="N311"/>
  <c r="O311" s="1"/>
  <c r="P311" s="1"/>
  <c r="K311"/>
  <c r="L311" s="1"/>
  <c r="S312"/>
  <c r="H312"/>
  <c r="J312"/>
  <c r="K315"/>
  <c r="L315" s="1"/>
  <c r="N315"/>
  <c r="O315" s="1"/>
  <c r="P315" s="1"/>
  <c r="K316"/>
  <c r="L316" s="1"/>
  <c r="N316"/>
  <c r="O316" s="1"/>
  <c r="P316" s="1"/>
  <c r="N317"/>
  <c r="O317" s="1"/>
  <c r="P317" s="1"/>
  <c r="K317"/>
  <c r="L317" s="1"/>
  <c r="J328"/>
  <c r="H328"/>
  <c r="S328"/>
  <c r="K329"/>
  <c r="L329" s="1"/>
  <c r="N329"/>
  <c r="O329" s="1"/>
  <c r="P329" s="1"/>
  <c r="N330"/>
  <c r="O330" s="1"/>
  <c r="P330" s="1"/>
  <c r="K330"/>
  <c r="L330" s="1"/>
  <c r="S343"/>
  <c r="J343"/>
  <c r="H343"/>
  <c r="F348"/>
  <c r="G348" s="1"/>
  <c r="T348" s="1"/>
  <c r="H347"/>
  <c r="S349"/>
  <c r="H349"/>
  <c r="J349"/>
  <c r="S351"/>
  <c r="J351"/>
  <c r="H351"/>
  <c r="N352"/>
  <c r="O352" s="1"/>
  <c r="K352"/>
  <c r="L352" s="1"/>
  <c r="S353"/>
  <c r="H353"/>
  <c r="J353"/>
  <c r="K17"/>
  <c r="L17" s="1"/>
  <c r="S20"/>
  <c r="T20" s="1"/>
  <c r="J20"/>
  <c r="G20"/>
  <c r="H20" s="1"/>
  <c r="N21"/>
  <c r="O21" s="1"/>
  <c r="P21" s="1"/>
  <c r="K21"/>
  <c r="L21" s="1"/>
  <c r="S25"/>
  <c r="T25" s="1"/>
  <c r="J25"/>
  <c r="G25"/>
  <c r="H25" s="1"/>
  <c r="H23" s="1"/>
  <c r="N26"/>
  <c r="O26" s="1"/>
  <c r="P26" s="1"/>
  <c r="K26"/>
  <c r="L26" s="1"/>
  <c r="S30"/>
  <c r="T30" s="1"/>
  <c r="J30"/>
  <c r="G30"/>
  <c r="H30" s="1"/>
  <c r="N31"/>
  <c r="O31" s="1"/>
  <c r="P31" s="1"/>
  <c r="K31"/>
  <c r="L31" s="1"/>
  <c r="S35"/>
  <c r="T35" s="1"/>
  <c r="J35"/>
  <c r="G35"/>
  <c r="H35" s="1"/>
  <c r="S38"/>
  <c r="T38" s="1"/>
  <c r="J38"/>
  <c r="G38"/>
  <c r="H38" s="1"/>
  <c r="L39"/>
  <c r="P39"/>
  <c r="S40"/>
  <c r="T40" s="1"/>
  <c r="J40"/>
  <c r="G40"/>
  <c r="H40" s="1"/>
  <c r="L41"/>
  <c r="P41"/>
  <c r="S42"/>
  <c r="T42" s="1"/>
  <c r="J42"/>
  <c r="G42"/>
  <c r="H42" s="1"/>
  <c r="L43"/>
  <c r="P43"/>
  <c r="S44"/>
  <c r="T44" s="1"/>
  <c r="J44"/>
  <c r="G44"/>
  <c r="H44" s="1"/>
  <c r="P45"/>
  <c r="S47"/>
  <c r="T47" s="1"/>
  <c r="J47"/>
  <c r="G47"/>
  <c r="H47" s="1"/>
  <c r="N48"/>
  <c r="O48" s="1"/>
  <c r="P48" s="1"/>
  <c r="S51"/>
  <c r="T51" s="1"/>
  <c r="J51"/>
  <c r="G51"/>
  <c r="H51" s="1"/>
  <c r="N52"/>
  <c r="O52" s="1"/>
  <c r="P52" s="1"/>
  <c r="K52"/>
  <c r="L52" s="1"/>
  <c r="S55"/>
  <c r="T55" s="1"/>
  <c r="J55"/>
  <c r="G55"/>
  <c r="H55" s="1"/>
  <c r="N56"/>
  <c r="O56" s="1"/>
  <c r="P56" s="1"/>
  <c r="K56"/>
  <c r="L56" s="1"/>
  <c r="S60"/>
  <c r="T60" s="1"/>
  <c r="J60"/>
  <c r="G60"/>
  <c r="H60" s="1"/>
  <c r="K61"/>
  <c r="L61" s="1"/>
  <c r="S64"/>
  <c r="T64" s="1"/>
  <c r="J64"/>
  <c r="G64"/>
  <c r="H64" s="1"/>
  <c r="J65"/>
  <c r="S68"/>
  <c r="T68" s="1"/>
  <c r="J68"/>
  <c r="G68"/>
  <c r="H68" s="1"/>
  <c r="N69"/>
  <c r="O69" s="1"/>
  <c r="P69" s="1"/>
  <c r="K69"/>
  <c r="L69" s="1"/>
  <c r="P71"/>
  <c r="S72"/>
  <c r="T72" s="1"/>
  <c r="J72"/>
  <c r="G72"/>
  <c r="H72" s="1"/>
  <c r="N73"/>
  <c r="O73" s="1"/>
  <c r="P73" s="1"/>
  <c r="K73"/>
  <c r="L73" s="1"/>
  <c r="K75"/>
  <c r="L75" s="1"/>
  <c r="N88"/>
  <c r="O88" s="1"/>
  <c r="P88" s="1"/>
  <c r="P83" s="1"/>
  <c r="P81" s="1"/>
  <c r="K88"/>
  <c r="L88" s="1"/>
  <c r="L83" s="1"/>
  <c r="N91"/>
  <c r="O91" s="1"/>
  <c r="P91" s="1"/>
  <c r="K91"/>
  <c r="L91" s="1"/>
  <c r="N92"/>
  <c r="O92" s="1"/>
  <c r="P92" s="1"/>
  <c r="K92"/>
  <c r="L92" s="1"/>
  <c r="S96"/>
  <c r="J96"/>
  <c r="H96"/>
  <c r="N97"/>
  <c r="O97" s="1"/>
  <c r="P97" s="1"/>
  <c r="K97"/>
  <c r="L97" s="1"/>
  <c r="S98"/>
  <c r="S99"/>
  <c r="J99"/>
  <c r="H99"/>
  <c r="N100"/>
  <c r="O100" s="1"/>
  <c r="P100" s="1"/>
  <c r="K100"/>
  <c r="L100" s="1"/>
  <c r="J101"/>
  <c r="S102"/>
  <c r="S103"/>
  <c r="H103"/>
  <c r="N103"/>
  <c r="O103" s="1"/>
  <c r="P103" s="1"/>
  <c r="S106"/>
  <c r="J106"/>
  <c r="H106"/>
  <c r="H105" s="1"/>
  <c r="N107"/>
  <c r="O107" s="1"/>
  <c r="P107" s="1"/>
  <c r="K107"/>
  <c r="L107" s="1"/>
  <c r="H111"/>
  <c r="J114"/>
  <c r="S120"/>
  <c r="J120"/>
  <c r="H120"/>
  <c r="N121"/>
  <c r="O121" s="1"/>
  <c r="P121" s="1"/>
  <c r="K121"/>
  <c r="L121" s="1"/>
  <c r="N123"/>
  <c r="O123" s="1"/>
  <c r="P123" s="1"/>
  <c r="P122" s="1"/>
  <c r="J125"/>
  <c r="J126"/>
  <c r="S129"/>
  <c r="J129"/>
  <c r="H129"/>
  <c r="N130"/>
  <c r="O130" s="1"/>
  <c r="P130" s="1"/>
  <c r="K130"/>
  <c r="L130" s="1"/>
  <c r="N132"/>
  <c r="O132" s="1"/>
  <c r="P132" s="1"/>
  <c r="K132"/>
  <c r="L132" s="1"/>
  <c r="S135"/>
  <c r="J135"/>
  <c r="H135"/>
  <c r="J136"/>
  <c r="K137"/>
  <c r="L137" s="1"/>
  <c r="K140"/>
  <c r="L140" s="1"/>
  <c r="P142"/>
  <c r="S143"/>
  <c r="H143"/>
  <c r="N143"/>
  <c r="O143" s="1"/>
  <c r="P143" s="1"/>
  <c r="S145"/>
  <c r="J145"/>
  <c r="H145"/>
  <c r="N146"/>
  <c r="O146" s="1"/>
  <c r="P146" s="1"/>
  <c r="K146"/>
  <c r="L146" s="1"/>
  <c r="K150"/>
  <c r="L150" s="1"/>
  <c r="L152"/>
  <c r="P152"/>
  <c r="S153"/>
  <c r="J153"/>
  <c r="H153"/>
  <c r="N154"/>
  <c r="O154" s="1"/>
  <c r="P154" s="1"/>
  <c r="K154"/>
  <c r="L154" s="1"/>
  <c r="S155"/>
  <c r="S156"/>
  <c r="J156"/>
  <c r="H156"/>
  <c r="N158"/>
  <c r="O158" s="1"/>
  <c r="P158" s="1"/>
  <c r="N159"/>
  <c r="O159" s="1"/>
  <c r="P159" s="1"/>
  <c r="K159"/>
  <c r="L159" s="1"/>
  <c r="S162"/>
  <c r="J162"/>
  <c r="H162"/>
  <c r="N163"/>
  <c r="O163" s="1"/>
  <c r="P163" s="1"/>
  <c r="K163"/>
  <c r="L163" s="1"/>
  <c r="S166"/>
  <c r="J166"/>
  <c r="H166"/>
  <c r="L167"/>
  <c r="P167"/>
  <c r="S168"/>
  <c r="J168"/>
  <c r="H168"/>
  <c r="N169"/>
  <c r="O169" s="1"/>
  <c r="P169" s="1"/>
  <c r="K169"/>
  <c r="L169" s="1"/>
  <c r="S174"/>
  <c r="J174"/>
  <c r="H174"/>
  <c r="N175"/>
  <c r="O175" s="1"/>
  <c r="P175" s="1"/>
  <c r="K175"/>
  <c r="L175" s="1"/>
  <c r="S178"/>
  <c r="J178"/>
  <c r="H178"/>
  <c r="N179"/>
  <c r="O179" s="1"/>
  <c r="P179" s="1"/>
  <c r="K179"/>
  <c r="L179" s="1"/>
  <c r="S182"/>
  <c r="J182"/>
  <c r="H182"/>
  <c r="N183"/>
  <c r="O183" s="1"/>
  <c r="P183" s="1"/>
  <c r="K183"/>
  <c r="L183" s="1"/>
  <c r="S186"/>
  <c r="J186"/>
  <c r="H186"/>
  <c r="N187"/>
  <c r="O187" s="1"/>
  <c r="P187" s="1"/>
  <c r="K187"/>
  <c r="L187" s="1"/>
  <c r="S191"/>
  <c r="J191"/>
  <c r="H191"/>
  <c r="N192"/>
  <c r="O192" s="1"/>
  <c r="P192" s="1"/>
  <c r="K192"/>
  <c r="L192" s="1"/>
  <c r="S195"/>
  <c r="J195"/>
  <c r="H195"/>
  <c r="N196"/>
  <c r="O196" s="1"/>
  <c r="P196" s="1"/>
  <c r="K196"/>
  <c r="L196" s="1"/>
  <c r="S199"/>
  <c r="H199"/>
  <c r="N199"/>
  <c r="O199" s="1"/>
  <c r="P199" s="1"/>
  <c r="S201"/>
  <c r="J201"/>
  <c r="H201"/>
  <c r="N202"/>
  <c r="O202" s="1"/>
  <c r="P202" s="1"/>
  <c r="K202"/>
  <c r="L202" s="1"/>
  <c r="S206"/>
  <c r="J206"/>
  <c r="H206"/>
  <c r="N207"/>
  <c r="O207" s="1"/>
  <c r="P207" s="1"/>
  <c r="K207"/>
  <c r="L207" s="1"/>
  <c r="S210"/>
  <c r="J210"/>
  <c r="H210"/>
  <c r="N211"/>
  <c r="O211" s="1"/>
  <c r="P211" s="1"/>
  <c r="S214"/>
  <c r="J214"/>
  <c r="H214"/>
  <c r="N215"/>
  <c r="O215" s="1"/>
  <c r="P215" s="1"/>
  <c r="K215"/>
  <c r="L215" s="1"/>
  <c r="S218"/>
  <c r="J218"/>
  <c r="H218"/>
  <c r="N219"/>
  <c r="O219" s="1"/>
  <c r="P219" s="1"/>
  <c r="K219"/>
  <c r="L219" s="1"/>
  <c r="S222"/>
  <c r="J222"/>
  <c r="H222"/>
  <c r="N223"/>
  <c r="O223" s="1"/>
  <c r="P223" s="1"/>
  <c r="K223"/>
  <c r="L223" s="1"/>
  <c r="S226"/>
  <c r="J226"/>
  <c r="H226"/>
  <c r="N227"/>
  <c r="O227" s="1"/>
  <c r="P227" s="1"/>
  <c r="K227"/>
  <c r="L227" s="1"/>
  <c r="S230"/>
  <c r="J230"/>
  <c r="H230"/>
  <c r="N231"/>
  <c r="O231" s="1"/>
  <c r="P231" s="1"/>
  <c r="K231"/>
  <c r="L231" s="1"/>
  <c r="S234"/>
  <c r="J234"/>
  <c r="H234"/>
  <c r="S237"/>
  <c r="J239"/>
  <c r="S242"/>
  <c r="J242"/>
  <c r="H242"/>
  <c r="N243"/>
  <c r="O243" s="1"/>
  <c r="P243" s="1"/>
  <c r="K243"/>
  <c r="L243" s="1"/>
  <c r="S248"/>
  <c r="J248"/>
  <c r="H248"/>
  <c r="N249"/>
  <c r="O249" s="1"/>
  <c r="P249" s="1"/>
  <c r="K249"/>
  <c r="L249" s="1"/>
  <c r="S252"/>
  <c r="J252"/>
  <c r="H252"/>
  <c r="S265"/>
  <c r="J265"/>
  <c r="H265"/>
  <c r="K276"/>
  <c r="L276" s="1"/>
  <c r="N276"/>
  <c r="O276" s="1"/>
  <c r="P276" s="1"/>
  <c r="N290"/>
  <c r="O290" s="1"/>
  <c r="P290" s="1"/>
  <c r="K290"/>
  <c r="L290" s="1"/>
  <c r="N296"/>
  <c r="O296" s="1"/>
  <c r="P296" s="1"/>
  <c r="K296"/>
  <c r="L296" s="1"/>
  <c r="J321"/>
  <c r="H321"/>
  <c r="S321"/>
  <c r="K322"/>
  <c r="L322" s="1"/>
  <c r="N322"/>
  <c r="O322" s="1"/>
  <c r="P322" s="1"/>
  <c r="K323"/>
  <c r="L323" s="1"/>
  <c r="N323"/>
  <c r="O323" s="1"/>
  <c r="P323" s="1"/>
  <c r="K324"/>
  <c r="L324" s="1"/>
  <c r="N324"/>
  <c r="O324" s="1"/>
  <c r="P324" s="1"/>
  <c r="K325"/>
  <c r="L325" s="1"/>
  <c r="N325"/>
  <c r="O325" s="1"/>
  <c r="P325" s="1"/>
  <c r="N326"/>
  <c r="O326" s="1"/>
  <c r="P326" s="1"/>
  <c r="K326"/>
  <c r="L326" s="1"/>
  <c r="J336"/>
  <c r="H336"/>
  <c r="S336"/>
  <c r="P352"/>
  <c r="K355"/>
  <c r="L355" s="1"/>
  <c r="N355"/>
  <c r="O355" s="1"/>
  <c r="P355" s="1"/>
  <c r="N356"/>
  <c r="O356" s="1"/>
  <c r="P356" s="1"/>
  <c r="K356"/>
  <c r="I356"/>
  <c r="S357"/>
  <c r="J357"/>
  <c r="H357"/>
  <c r="N358"/>
  <c r="O358" s="1"/>
  <c r="P358" s="1"/>
  <c r="K358"/>
  <c r="L358" s="1"/>
  <c r="S361"/>
  <c r="J361"/>
  <c r="H361"/>
  <c r="K362"/>
  <c r="L362" s="1"/>
  <c r="N362"/>
  <c r="O362" s="1"/>
  <c r="P362" s="1"/>
  <c r="N363"/>
  <c r="O363" s="1"/>
  <c r="P363" s="1"/>
  <c r="K363"/>
  <c r="L363" s="1"/>
  <c r="S366"/>
  <c r="J366"/>
  <c r="H366"/>
  <c r="N367"/>
  <c r="O367" s="1"/>
  <c r="P367" s="1"/>
  <c r="K367"/>
  <c r="L367" s="1"/>
  <c r="S377"/>
  <c r="J377"/>
  <c r="H377"/>
  <c r="N378"/>
  <c r="O378" s="1"/>
  <c r="P378" s="1"/>
  <c r="K378"/>
  <c r="L378" s="1"/>
  <c r="J383"/>
  <c r="H383"/>
  <c r="J385"/>
  <c r="H385"/>
  <c r="N390"/>
  <c r="O390" s="1"/>
  <c r="P390" s="1"/>
  <c r="K390"/>
  <c r="L390" s="1"/>
  <c r="P396"/>
  <c r="J397"/>
  <c r="H397"/>
  <c r="N400"/>
  <c r="O400" s="1"/>
  <c r="P400" s="1"/>
  <c r="K400"/>
  <c r="L400" s="1"/>
  <c r="K402"/>
  <c r="L402" s="1"/>
  <c r="P407"/>
  <c r="N408"/>
  <c r="O408" s="1"/>
  <c r="P408" s="1"/>
  <c r="K408"/>
  <c r="L408" s="1"/>
  <c r="J411"/>
  <c r="H411"/>
  <c r="S411"/>
  <c r="S421"/>
  <c r="J421"/>
  <c r="H421"/>
  <c r="N422"/>
  <c r="O422" s="1"/>
  <c r="P422" s="1"/>
  <c r="K422"/>
  <c r="L422" s="1"/>
  <c r="S451"/>
  <c r="J451"/>
  <c r="H451"/>
  <c r="K452"/>
  <c r="L452" s="1"/>
  <c r="S455"/>
  <c r="J455"/>
  <c r="H455"/>
  <c r="N456"/>
  <c r="O456" s="1"/>
  <c r="P456" s="1"/>
  <c r="K456"/>
  <c r="L456" s="1"/>
  <c r="S459"/>
  <c r="J459"/>
  <c r="H459"/>
  <c r="N460"/>
  <c r="O460" s="1"/>
  <c r="P460" s="1"/>
  <c r="K460"/>
  <c r="L460" s="1"/>
  <c r="S463"/>
  <c r="J463"/>
  <c r="H463"/>
  <c r="N464"/>
  <c r="O464" s="1"/>
  <c r="P464" s="1"/>
  <c r="K464"/>
  <c r="L464" s="1"/>
  <c r="S467"/>
  <c r="J467"/>
  <c r="H467"/>
  <c r="N468"/>
  <c r="O468" s="1"/>
  <c r="P468" s="1"/>
  <c r="K468"/>
  <c r="L468" s="1"/>
  <c r="S471"/>
  <c r="J471"/>
  <c r="H471"/>
  <c r="N472"/>
  <c r="O472" s="1"/>
  <c r="P472" s="1"/>
  <c r="K472"/>
  <c r="L472" s="1"/>
  <c r="S475"/>
  <c r="J475"/>
  <c r="H475"/>
  <c r="N476"/>
  <c r="O476" s="1"/>
  <c r="P476" s="1"/>
  <c r="K476"/>
  <c r="L476" s="1"/>
  <c r="S503"/>
  <c r="J503"/>
  <c r="H503"/>
  <c r="N520"/>
  <c r="O520" s="1"/>
  <c r="P520" s="1"/>
  <c r="K520"/>
  <c r="L520" s="1"/>
  <c r="N527"/>
  <c r="O527" s="1"/>
  <c r="P527" s="1"/>
  <c r="K527"/>
  <c r="L527" s="1"/>
  <c r="J36"/>
  <c r="J74"/>
  <c r="J127"/>
  <c r="J138"/>
  <c r="H158"/>
  <c r="H157" s="1"/>
  <c r="J238"/>
  <c r="S254"/>
  <c r="J254"/>
  <c r="H254"/>
  <c r="S258"/>
  <c r="J264"/>
  <c r="H264"/>
  <c r="S269"/>
  <c r="J269"/>
  <c r="N270"/>
  <c r="O270" s="1"/>
  <c r="P270" s="1"/>
  <c r="K270"/>
  <c r="L270" s="1"/>
  <c r="S276"/>
  <c r="S280"/>
  <c r="J280"/>
  <c r="S287"/>
  <c r="J287"/>
  <c r="H287"/>
  <c r="S291"/>
  <c r="J291"/>
  <c r="S298"/>
  <c r="J298"/>
  <c r="H298"/>
  <c r="N299"/>
  <c r="O299" s="1"/>
  <c r="P299" s="1"/>
  <c r="K299"/>
  <c r="L299" s="1"/>
  <c r="S302"/>
  <c r="J302"/>
  <c r="H302"/>
  <c r="N303"/>
  <c r="O303" s="1"/>
  <c r="P303" s="1"/>
  <c r="K303"/>
  <c r="L303" s="1"/>
  <c r="S306"/>
  <c r="J306"/>
  <c r="H306"/>
  <c r="N307"/>
  <c r="O307" s="1"/>
  <c r="P307" s="1"/>
  <c r="K307"/>
  <c r="L307" s="1"/>
  <c r="L314"/>
  <c r="P314"/>
  <c r="S315"/>
  <c r="H315"/>
  <c r="S318"/>
  <c r="J318"/>
  <c r="H318"/>
  <c r="L319"/>
  <c r="P319"/>
  <c r="J320"/>
  <c r="H320"/>
  <c r="S322"/>
  <c r="H322"/>
  <c r="J327"/>
  <c r="H327"/>
  <c r="S329"/>
  <c r="H329"/>
  <c r="S331"/>
  <c r="J331"/>
  <c r="H331"/>
  <c r="L333"/>
  <c r="S334"/>
  <c r="J334"/>
  <c r="H334"/>
  <c r="N342"/>
  <c r="O342" s="1"/>
  <c r="P342" s="1"/>
  <c r="K342"/>
  <c r="L342" s="1"/>
  <c r="N350"/>
  <c r="O350" s="1"/>
  <c r="P350" s="1"/>
  <c r="K350"/>
  <c r="L350" s="1"/>
  <c r="L354"/>
  <c r="P354"/>
  <c r="S355"/>
  <c r="H355"/>
  <c r="S359"/>
  <c r="J359"/>
  <c r="H359"/>
  <c r="N360"/>
  <c r="O360" s="1"/>
  <c r="P360" s="1"/>
  <c r="K360"/>
  <c r="L360" s="1"/>
  <c r="S364"/>
  <c r="J364"/>
  <c r="H364"/>
  <c r="N365"/>
  <c r="O365" s="1"/>
  <c r="P365" s="1"/>
  <c r="K365"/>
  <c r="L365" s="1"/>
  <c r="S368"/>
  <c r="J368"/>
  <c r="H368"/>
  <c r="N369"/>
  <c r="O369" s="1"/>
  <c r="P369" s="1"/>
  <c r="K369"/>
  <c r="L369" s="1"/>
  <c r="N372"/>
  <c r="O372" s="1"/>
  <c r="P372" s="1"/>
  <c r="K372"/>
  <c r="L372" s="1"/>
  <c r="S375"/>
  <c r="J375"/>
  <c r="H375"/>
  <c r="N376"/>
  <c r="O376" s="1"/>
  <c r="P376" s="1"/>
  <c r="K376"/>
  <c r="L376" s="1"/>
  <c r="S379"/>
  <c r="J379"/>
  <c r="H379"/>
  <c r="N382"/>
  <c r="O382" s="1"/>
  <c r="P382" s="1"/>
  <c r="K382"/>
  <c r="L382" s="1"/>
  <c r="S383"/>
  <c r="J384"/>
  <c r="H384"/>
  <c r="S385"/>
  <c r="S386"/>
  <c r="H386"/>
  <c r="N386"/>
  <c r="O386" s="1"/>
  <c r="P386" s="1"/>
  <c r="N387"/>
  <c r="O387" s="1"/>
  <c r="P387" s="1"/>
  <c r="N388"/>
  <c r="O388" s="1"/>
  <c r="P388" s="1"/>
  <c r="S391"/>
  <c r="H391"/>
  <c r="N391"/>
  <c r="O391" s="1"/>
  <c r="P391" s="1"/>
  <c r="L394"/>
  <c r="P394"/>
  <c r="S395"/>
  <c r="H395"/>
  <c r="N395"/>
  <c r="O395" s="1"/>
  <c r="P395" s="1"/>
  <c r="K396"/>
  <c r="L396" s="1"/>
  <c r="S397"/>
  <c r="S398"/>
  <c r="J398"/>
  <c r="H398"/>
  <c r="N399"/>
  <c r="O399" s="1"/>
  <c r="P399" s="1"/>
  <c r="K399"/>
  <c r="L399" s="1"/>
  <c r="S401"/>
  <c r="N401"/>
  <c r="O401" s="1"/>
  <c r="P401" s="1"/>
  <c r="S403"/>
  <c r="N403"/>
  <c r="O403" s="1"/>
  <c r="P403" s="1"/>
  <c r="N404"/>
  <c r="O404" s="1"/>
  <c r="P404" s="1"/>
  <c r="N405"/>
  <c r="O405" s="1"/>
  <c r="P405" s="1"/>
  <c r="K407"/>
  <c r="L407" s="1"/>
  <c r="S414"/>
  <c r="J414"/>
  <c r="H414"/>
  <c r="K415"/>
  <c r="L415" s="1"/>
  <c r="N415"/>
  <c r="O415" s="1"/>
  <c r="P415" s="1"/>
  <c r="K417"/>
  <c r="L417" s="1"/>
  <c r="N417"/>
  <c r="O417" s="1"/>
  <c r="P417" s="1"/>
  <c r="K418"/>
  <c r="L418" s="1"/>
  <c r="N418"/>
  <c r="O418" s="1"/>
  <c r="P418" s="1"/>
  <c r="N419"/>
  <c r="O419" s="1"/>
  <c r="P419" s="1"/>
  <c r="K419"/>
  <c r="L419" s="1"/>
  <c r="S424"/>
  <c r="H424"/>
  <c r="J424"/>
  <c r="S428"/>
  <c r="J428"/>
  <c r="H428"/>
  <c r="K429"/>
  <c r="L429" s="1"/>
  <c r="S432"/>
  <c r="J432"/>
  <c r="H432"/>
  <c r="K433"/>
  <c r="L433" s="1"/>
  <c r="N434"/>
  <c r="O434" s="1"/>
  <c r="P434" s="1"/>
  <c r="K434"/>
  <c r="L434" s="1"/>
  <c r="S437"/>
  <c r="J437"/>
  <c r="H437"/>
  <c r="N438"/>
  <c r="O438" s="1"/>
  <c r="P438" s="1"/>
  <c r="K438"/>
  <c r="L438" s="1"/>
  <c r="S441"/>
  <c r="J441"/>
  <c r="H441"/>
  <c r="S443"/>
  <c r="J443"/>
  <c r="H443"/>
  <c r="N504"/>
  <c r="O504" s="1"/>
  <c r="P504" s="1"/>
  <c r="K504"/>
  <c r="L504" s="1"/>
  <c r="S526"/>
  <c r="J526"/>
  <c r="H526"/>
  <c r="S538"/>
  <c r="J538"/>
  <c r="H538"/>
  <c r="H344"/>
  <c r="H346"/>
  <c r="J392"/>
  <c r="H404"/>
  <c r="H405"/>
  <c r="H406"/>
  <c r="H407"/>
  <c r="S412"/>
  <c r="J412"/>
  <c r="H412"/>
  <c r="N413"/>
  <c r="O413" s="1"/>
  <c r="P413" s="1"/>
  <c r="K413"/>
  <c r="L413" s="1"/>
  <c r="J420"/>
  <c r="H420"/>
  <c r="J423"/>
  <c r="H423"/>
  <c r="P425"/>
  <c r="S426"/>
  <c r="J426"/>
  <c r="H426"/>
  <c r="N427"/>
  <c r="O427" s="1"/>
  <c r="P427" s="1"/>
  <c r="K427"/>
  <c r="L427" s="1"/>
  <c r="S430"/>
  <c r="J430"/>
  <c r="H430"/>
  <c r="N431"/>
  <c r="O431" s="1"/>
  <c r="P431" s="1"/>
  <c r="K431"/>
  <c r="L431" s="1"/>
  <c r="S435"/>
  <c r="J435"/>
  <c r="H435"/>
  <c r="N436"/>
  <c r="O436" s="1"/>
  <c r="P436" s="1"/>
  <c r="K436"/>
  <c r="L436" s="1"/>
  <c r="S439"/>
  <c r="J439"/>
  <c r="H439"/>
  <c r="N440"/>
  <c r="O440" s="1"/>
  <c r="P440" s="1"/>
  <c r="K440"/>
  <c r="L440" s="1"/>
  <c r="S453"/>
  <c r="J453"/>
  <c r="H453"/>
  <c r="N454"/>
  <c r="O454" s="1"/>
  <c r="P454" s="1"/>
  <c r="K454"/>
  <c r="L454" s="1"/>
  <c r="S457"/>
  <c r="J457"/>
  <c r="H457"/>
  <c r="N458"/>
  <c r="O458" s="1"/>
  <c r="P458" s="1"/>
  <c r="K458"/>
  <c r="L458" s="1"/>
  <c r="S461"/>
  <c r="J461"/>
  <c r="H461"/>
  <c r="N462"/>
  <c r="O462" s="1"/>
  <c r="P462" s="1"/>
  <c r="K462"/>
  <c r="L462" s="1"/>
  <c r="S465"/>
  <c r="J465"/>
  <c r="H465"/>
  <c r="K466"/>
  <c r="L466" s="1"/>
  <c r="S469"/>
  <c r="J469"/>
  <c r="H469"/>
  <c r="N470"/>
  <c r="O470" s="1"/>
  <c r="P470" s="1"/>
  <c r="K470"/>
  <c r="L470" s="1"/>
  <c r="S473"/>
  <c r="J473"/>
  <c r="H473"/>
  <c r="S477"/>
  <c r="J477"/>
  <c r="H477"/>
  <c r="N478"/>
  <c r="O478" s="1"/>
  <c r="P478" s="1"/>
  <c r="K478"/>
  <c r="L478" s="1"/>
  <c r="S506"/>
  <c r="J506"/>
  <c r="H506"/>
  <c r="N508"/>
  <c r="O508" s="1"/>
  <c r="P508" s="1"/>
  <c r="K508"/>
  <c r="L508" s="1"/>
  <c r="S511"/>
  <c r="J511"/>
  <c r="H511"/>
  <c r="S515"/>
  <c r="J515"/>
  <c r="H515"/>
  <c r="N516"/>
  <c r="O516" s="1"/>
  <c r="P516" s="1"/>
  <c r="K516"/>
  <c r="L516" s="1"/>
  <c r="S543"/>
  <c r="J543"/>
  <c r="G543"/>
  <c r="S479"/>
  <c r="J479"/>
  <c r="H479"/>
  <c r="N502"/>
  <c r="O502" s="1"/>
  <c r="P502" s="1"/>
  <c r="K502"/>
  <c r="L502" s="1"/>
  <c r="J505"/>
  <c r="H505"/>
  <c r="H501"/>
  <c r="S509"/>
  <c r="J509"/>
  <c r="N510"/>
  <c r="O510" s="1"/>
  <c r="P510" s="1"/>
  <c r="K510"/>
  <c r="L510" s="1"/>
  <c r="S513"/>
  <c r="J513"/>
  <c r="N514"/>
  <c r="O514" s="1"/>
  <c r="P514" s="1"/>
  <c r="K514"/>
  <c r="L514" s="1"/>
  <c r="S516"/>
  <c r="N521"/>
  <c r="O521" s="1"/>
  <c r="P521" s="1"/>
  <c r="K521"/>
  <c r="L521" s="1"/>
  <c r="N524"/>
  <c r="O524" s="1"/>
  <c r="P524" s="1"/>
  <c r="K524"/>
  <c r="L524" s="1"/>
  <c r="S537"/>
  <c r="J537"/>
  <c r="H537"/>
  <c r="N547"/>
  <c r="O547" s="1"/>
  <c r="P547" s="1"/>
  <c r="K547"/>
  <c r="L547" s="1"/>
  <c r="S550"/>
  <c r="J550"/>
  <c r="G550"/>
  <c r="N551"/>
  <c r="O551" s="1"/>
  <c r="P551" s="1"/>
  <c r="K551"/>
  <c r="L551" s="1"/>
  <c r="S554"/>
  <c r="J554"/>
  <c r="G554"/>
  <c r="N540"/>
  <c r="O540" s="1"/>
  <c r="P540" s="1"/>
  <c r="P539" s="1"/>
  <c r="K540"/>
  <c r="L540" s="1"/>
  <c r="L539" s="1"/>
  <c r="N542"/>
  <c r="O542" s="1"/>
  <c r="P542" s="1"/>
  <c r="K542"/>
  <c r="L542" s="1"/>
  <c r="S548"/>
  <c r="J548"/>
  <c r="G548"/>
  <c r="N549"/>
  <c r="O549" s="1"/>
  <c r="P549" s="1"/>
  <c r="K549"/>
  <c r="L549" s="1"/>
  <c r="S552"/>
  <c r="J552"/>
  <c r="G552"/>
  <c r="N558"/>
  <c r="O558" s="1"/>
  <c r="K558"/>
  <c r="L558" s="1"/>
  <c r="N559"/>
  <c r="O559" s="1"/>
  <c r="K559"/>
  <c r="L559" s="1"/>
  <c r="J544"/>
  <c r="J545"/>
  <c r="K247" l="1"/>
  <c r="L247" s="1"/>
  <c r="K142"/>
  <c r="L142" s="1"/>
  <c r="H286"/>
  <c r="H127"/>
  <c r="H525"/>
  <c r="H387"/>
  <c r="H440"/>
  <c r="H416"/>
  <c r="H390"/>
  <c r="T525"/>
  <c r="H476"/>
  <c r="H468"/>
  <c r="H460"/>
  <c r="H452"/>
  <c r="H413"/>
  <c r="H410" s="1"/>
  <c r="H137"/>
  <c r="H101"/>
  <c r="H119"/>
  <c r="T297"/>
  <c r="T27"/>
  <c r="H309"/>
  <c r="H223"/>
  <c r="H233"/>
  <c r="H527"/>
  <c r="H207"/>
  <c r="H365"/>
  <c r="H215"/>
  <c r="H550"/>
  <c r="T550"/>
  <c r="H552"/>
  <c r="T552"/>
  <c r="H554"/>
  <c r="T554"/>
  <c r="H551"/>
  <c r="T551"/>
  <c r="H431"/>
  <c r="T431"/>
  <c r="H422"/>
  <c r="T422"/>
  <c r="H417"/>
  <c r="T417"/>
  <c r="H393"/>
  <c r="T393"/>
  <c r="H367"/>
  <c r="T367"/>
  <c r="H360"/>
  <c r="T360"/>
  <c r="H350"/>
  <c r="T350"/>
  <c r="H326"/>
  <c r="T326"/>
  <c r="H317"/>
  <c r="T317"/>
  <c r="H305"/>
  <c r="T305"/>
  <c r="H296"/>
  <c r="T296"/>
  <c r="H225"/>
  <c r="T225"/>
  <c r="H219"/>
  <c r="T219"/>
  <c r="H211"/>
  <c r="T211"/>
  <c r="H100"/>
  <c r="T100"/>
  <c r="H237"/>
  <c r="T237"/>
  <c r="H189"/>
  <c r="T189"/>
  <c r="H177"/>
  <c r="T177"/>
  <c r="H307"/>
  <c r="T307"/>
  <c r="H245"/>
  <c r="T245"/>
  <c r="H209"/>
  <c r="T209"/>
  <c r="H95"/>
  <c r="T95"/>
  <c r="H474"/>
  <c r="T474"/>
  <c r="H382"/>
  <c r="T382"/>
  <c r="H196"/>
  <c r="T196"/>
  <c r="N173"/>
  <c r="O173" s="1"/>
  <c r="P173" s="1"/>
  <c r="T23"/>
  <c r="H142"/>
  <c r="H141" s="1"/>
  <c r="H194"/>
  <c r="H418"/>
  <c r="H392"/>
  <c r="H543"/>
  <c r="T543"/>
  <c r="H542"/>
  <c r="T542"/>
  <c r="H545"/>
  <c r="T545"/>
  <c r="H229"/>
  <c r="T229"/>
  <c r="H200"/>
  <c r="T200"/>
  <c r="H125"/>
  <c r="T125"/>
  <c r="H181"/>
  <c r="T181"/>
  <c r="H139"/>
  <c r="T139"/>
  <c r="H235"/>
  <c r="T235"/>
  <c r="H221"/>
  <c r="T221"/>
  <c r="H466"/>
  <c r="T466"/>
  <c r="H458"/>
  <c r="T458"/>
  <c r="H239"/>
  <c r="T239"/>
  <c r="H187"/>
  <c r="T187"/>
  <c r="H128"/>
  <c r="T128"/>
  <c r="H70"/>
  <c r="T70"/>
  <c r="H427"/>
  <c r="H363"/>
  <c r="H544"/>
  <c r="T544"/>
  <c r="H547"/>
  <c r="T547"/>
  <c r="H399"/>
  <c r="T399"/>
  <c r="H330"/>
  <c r="T330"/>
  <c r="H324"/>
  <c r="T324"/>
  <c r="H376"/>
  <c r="T376"/>
  <c r="H173"/>
  <c r="T173"/>
  <c r="H130"/>
  <c r="T130"/>
  <c r="H121"/>
  <c r="H117" s="1"/>
  <c r="T121"/>
  <c r="H436"/>
  <c r="T436"/>
  <c r="H316"/>
  <c r="T316"/>
  <c r="H299"/>
  <c r="T299"/>
  <c r="H227"/>
  <c r="T227"/>
  <c r="H415"/>
  <c r="T415"/>
  <c r="H247"/>
  <c r="T247"/>
  <c r="H179"/>
  <c r="T179"/>
  <c r="T59"/>
  <c r="T33"/>
  <c r="T484"/>
  <c r="H548"/>
  <c r="T548"/>
  <c r="H549"/>
  <c r="T549"/>
  <c r="H438"/>
  <c r="T438"/>
  <c r="H243"/>
  <c r="T243"/>
  <c r="H134"/>
  <c r="T134"/>
  <c r="H88"/>
  <c r="T88"/>
  <c r="H253"/>
  <c r="T253"/>
  <c r="H198"/>
  <c r="T198"/>
  <c r="H429"/>
  <c r="T429"/>
  <c r="H303"/>
  <c r="T303"/>
  <c r="H288"/>
  <c r="T288"/>
  <c r="H217"/>
  <c r="T217"/>
  <c r="H126"/>
  <c r="T126"/>
  <c r="H504"/>
  <c r="T504"/>
  <c r="H378"/>
  <c r="T378"/>
  <c r="T46"/>
  <c r="T16"/>
  <c r="N209"/>
  <c r="O209" s="1"/>
  <c r="P209" s="1"/>
  <c r="K425"/>
  <c r="L425" s="1"/>
  <c r="H114"/>
  <c r="G114"/>
  <c r="T114" s="1"/>
  <c r="N181"/>
  <c r="O181" s="1"/>
  <c r="P181" s="1"/>
  <c r="K50"/>
  <c r="L50" s="1"/>
  <c r="N380"/>
  <c r="O380" s="1"/>
  <c r="P380" s="1"/>
  <c r="N393"/>
  <c r="O393" s="1"/>
  <c r="P393" s="1"/>
  <c r="K189"/>
  <c r="L189" s="1"/>
  <c r="K58"/>
  <c r="L58" s="1"/>
  <c r="N268"/>
  <c r="O268" s="1"/>
  <c r="P268" s="1"/>
  <c r="K344"/>
  <c r="L344" s="1"/>
  <c r="N344"/>
  <c r="O344" s="1"/>
  <c r="P344" s="1"/>
  <c r="N198"/>
  <c r="O198" s="1"/>
  <c r="P198" s="1"/>
  <c r="Q255"/>
  <c r="N237"/>
  <c r="O237" s="1"/>
  <c r="P237" s="1"/>
  <c r="K288"/>
  <c r="L288" s="1"/>
  <c r="K235"/>
  <c r="L235" s="1"/>
  <c r="N95"/>
  <c r="O95" s="1"/>
  <c r="P95" s="1"/>
  <c r="N553"/>
  <c r="O553" s="1"/>
  <c r="P553" s="1"/>
  <c r="N512"/>
  <c r="O512" s="1"/>
  <c r="P512" s="1"/>
  <c r="N474"/>
  <c r="O474" s="1"/>
  <c r="P474" s="1"/>
  <c r="K416"/>
  <c r="L416" s="1"/>
  <c r="N281"/>
  <c r="O281" s="1"/>
  <c r="P281" s="1"/>
  <c r="K253"/>
  <c r="L253" s="1"/>
  <c r="N406"/>
  <c r="O406" s="1"/>
  <c r="P406" s="1"/>
  <c r="N389"/>
  <c r="O389" s="1"/>
  <c r="P389" s="1"/>
  <c r="K332"/>
  <c r="L332" s="1"/>
  <c r="N332"/>
  <c r="O332" s="1"/>
  <c r="P332" s="1"/>
  <c r="N335"/>
  <c r="O335" s="1"/>
  <c r="P335" s="1"/>
  <c r="H484"/>
  <c r="K522"/>
  <c r="L522" s="1"/>
  <c r="N522"/>
  <c r="O522" s="1"/>
  <c r="P522" s="1"/>
  <c r="K409"/>
  <c r="L409" s="1"/>
  <c r="N409"/>
  <c r="O409" s="1"/>
  <c r="P409" s="1"/>
  <c r="K371"/>
  <c r="L371" s="1"/>
  <c r="N371"/>
  <c r="O371" s="1"/>
  <c r="P371" s="1"/>
  <c r="H33"/>
  <c r="H151"/>
  <c r="L89"/>
  <c r="H16"/>
  <c r="N545"/>
  <c r="O545" s="1"/>
  <c r="P545" s="1"/>
  <c r="K545"/>
  <c r="L545" s="1"/>
  <c r="K548"/>
  <c r="L548" s="1"/>
  <c r="N548"/>
  <c r="O548" s="1"/>
  <c r="P548" s="1"/>
  <c r="K392"/>
  <c r="L392" s="1"/>
  <c r="N392"/>
  <c r="O392" s="1"/>
  <c r="P392" s="1"/>
  <c r="K398"/>
  <c r="L398" s="1"/>
  <c r="N398"/>
  <c r="O398" s="1"/>
  <c r="P398" s="1"/>
  <c r="K306"/>
  <c r="L306" s="1"/>
  <c r="N306"/>
  <c r="O306" s="1"/>
  <c r="P306" s="1"/>
  <c r="K298"/>
  <c r="L298" s="1"/>
  <c r="N298"/>
  <c r="O298" s="1"/>
  <c r="P298" s="1"/>
  <c r="K287"/>
  <c r="L287" s="1"/>
  <c r="N287"/>
  <c r="O287" s="1"/>
  <c r="P287" s="1"/>
  <c r="K269"/>
  <c r="L269" s="1"/>
  <c r="N269"/>
  <c r="O269" s="1"/>
  <c r="P269" s="1"/>
  <c r="N127"/>
  <c r="O127" s="1"/>
  <c r="P127" s="1"/>
  <c r="K127"/>
  <c r="L127" s="1"/>
  <c r="N36"/>
  <c r="O36" s="1"/>
  <c r="P36" s="1"/>
  <c r="K36"/>
  <c r="L36" s="1"/>
  <c r="N383"/>
  <c r="O383" s="1"/>
  <c r="P383" s="1"/>
  <c r="K383"/>
  <c r="L383" s="1"/>
  <c r="N377"/>
  <c r="O377" s="1"/>
  <c r="P377" s="1"/>
  <c r="K377"/>
  <c r="L377" s="1"/>
  <c r="N361"/>
  <c r="O361" s="1"/>
  <c r="P361" s="1"/>
  <c r="K361"/>
  <c r="L361" s="1"/>
  <c r="N321"/>
  <c r="O321" s="1"/>
  <c r="P321" s="1"/>
  <c r="K321"/>
  <c r="L321" s="1"/>
  <c r="N101"/>
  <c r="O101" s="1"/>
  <c r="P101" s="1"/>
  <c r="K101"/>
  <c r="L101" s="1"/>
  <c r="K99"/>
  <c r="L99" s="1"/>
  <c r="N99"/>
  <c r="O99" s="1"/>
  <c r="P99" s="1"/>
  <c r="H348"/>
  <c r="H297" s="1"/>
  <c r="K343"/>
  <c r="L343" s="1"/>
  <c r="N343"/>
  <c r="O343" s="1"/>
  <c r="P343" s="1"/>
  <c r="N310"/>
  <c r="O310" s="1"/>
  <c r="P310" s="1"/>
  <c r="K310"/>
  <c r="L310" s="1"/>
  <c r="N308"/>
  <c r="O308" s="1"/>
  <c r="P308" s="1"/>
  <c r="K308"/>
  <c r="L308" s="1"/>
  <c r="N300"/>
  <c r="O300" s="1"/>
  <c r="P300" s="1"/>
  <c r="K300"/>
  <c r="L300" s="1"/>
  <c r="S112"/>
  <c r="J112"/>
  <c r="H112"/>
  <c r="N111"/>
  <c r="O111" s="1"/>
  <c r="P111" s="1"/>
  <c r="K111"/>
  <c r="L111" s="1"/>
  <c r="N102"/>
  <c r="O102" s="1"/>
  <c r="P102" s="1"/>
  <c r="K102"/>
  <c r="L102" s="1"/>
  <c r="H93"/>
  <c r="N57"/>
  <c r="O57" s="1"/>
  <c r="P57" s="1"/>
  <c r="K57"/>
  <c r="L57" s="1"/>
  <c r="N49"/>
  <c r="O49" s="1"/>
  <c r="P49" s="1"/>
  <c r="K49"/>
  <c r="L49" s="1"/>
  <c r="N28"/>
  <c r="O28" s="1"/>
  <c r="P28" s="1"/>
  <c r="K28"/>
  <c r="L28" s="1"/>
  <c r="N550"/>
  <c r="O550" s="1"/>
  <c r="P550" s="1"/>
  <c r="K550"/>
  <c r="L550" s="1"/>
  <c r="K537"/>
  <c r="L537" s="1"/>
  <c r="N537"/>
  <c r="O537" s="1"/>
  <c r="P537" s="1"/>
  <c r="K513"/>
  <c r="L513" s="1"/>
  <c r="N513"/>
  <c r="O513" s="1"/>
  <c r="P513" s="1"/>
  <c r="N543"/>
  <c r="O543" s="1"/>
  <c r="P543" s="1"/>
  <c r="K543"/>
  <c r="L543" s="1"/>
  <c r="N515"/>
  <c r="O515" s="1"/>
  <c r="P515" s="1"/>
  <c r="K515"/>
  <c r="L515" s="1"/>
  <c r="N511"/>
  <c r="O511" s="1"/>
  <c r="P511" s="1"/>
  <c r="K511"/>
  <c r="L511" s="1"/>
  <c r="K477"/>
  <c r="L477" s="1"/>
  <c r="N477"/>
  <c r="O477" s="1"/>
  <c r="P477" s="1"/>
  <c r="K469"/>
  <c r="L469" s="1"/>
  <c r="N469"/>
  <c r="O469" s="1"/>
  <c r="P469" s="1"/>
  <c r="K461"/>
  <c r="L461" s="1"/>
  <c r="N461"/>
  <c r="O461" s="1"/>
  <c r="P461" s="1"/>
  <c r="K453"/>
  <c r="L453" s="1"/>
  <c r="N453"/>
  <c r="O453" s="1"/>
  <c r="P453" s="1"/>
  <c r="K435"/>
  <c r="L435" s="1"/>
  <c r="N435"/>
  <c r="O435" s="1"/>
  <c r="P435" s="1"/>
  <c r="K426"/>
  <c r="L426" s="1"/>
  <c r="N426"/>
  <c r="O426" s="1"/>
  <c r="P426" s="1"/>
  <c r="N526"/>
  <c r="O526" s="1"/>
  <c r="P526" s="1"/>
  <c r="K526"/>
  <c r="L526" s="1"/>
  <c r="N443"/>
  <c r="O443" s="1"/>
  <c r="P443" s="1"/>
  <c r="K443"/>
  <c r="L443" s="1"/>
  <c r="N437"/>
  <c r="O437" s="1"/>
  <c r="P437" s="1"/>
  <c r="K437"/>
  <c r="L437" s="1"/>
  <c r="N428"/>
  <c r="O428" s="1"/>
  <c r="P428" s="1"/>
  <c r="K428"/>
  <c r="L428" s="1"/>
  <c r="K424"/>
  <c r="L424" s="1"/>
  <c r="N424"/>
  <c r="O424" s="1"/>
  <c r="P424" s="1"/>
  <c r="N384"/>
  <c r="O384" s="1"/>
  <c r="P384" s="1"/>
  <c r="K384"/>
  <c r="L384" s="1"/>
  <c r="K379"/>
  <c r="L379" s="1"/>
  <c r="N379"/>
  <c r="O379" s="1"/>
  <c r="P379" s="1"/>
  <c r="K368"/>
  <c r="L368" s="1"/>
  <c r="N368"/>
  <c r="O368" s="1"/>
  <c r="P368" s="1"/>
  <c r="K359"/>
  <c r="L359" s="1"/>
  <c r="N359"/>
  <c r="O359" s="1"/>
  <c r="P359" s="1"/>
  <c r="K334"/>
  <c r="L334" s="1"/>
  <c r="N334"/>
  <c r="O334" s="1"/>
  <c r="P334" s="1"/>
  <c r="K331"/>
  <c r="L331" s="1"/>
  <c r="N331"/>
  <c r="O331" s="1"/>
  <c r="P331" s="1"/>
  <c r="N327"/>
  <c r="O327" s="1"/>
  <c r="P327" s="1"/>
  <c r="K327"/>
  <c r="L327" s="1"/>
  <c r="N475"/>
  <c r="O475" s="1"/>
  <c r="P475" s="1"/>
  <c r="K475"/>
  <c r="L475" s="1"/>
  <c r="N467"/>
  <c r="O467" s="1"/>
  <c r="P467" s="1"/>
  <c r="K467"/>
  <c r="L467" s="1"/>
  <c r="N459"/>
  <c r="O459" s="1"/>
  <c r="P459" s="1"/>
  <c r="K459"/>
  <c r="L459" s="1"/>
  <c r="N451"/>
  <c r="O451" s="1"/>
  <c r="P451" s="1"/>
  <c r="K451"/>
  <c r="L451" s="1"/>
  <c r="N421"/>
  <c r="O421" s="1"/>
  <c r="P421" s="1"/>
  <c r="K421"/>
  <c r="L421" s="1"/>
  <c r="N411"/>
  <c r="O411" s="1"/>
  <c r="P411" s="1"/>
  <c r="K411"/>
  <c r="L411" s="1"/>
  <c r="N397"/>
  <c r="O397" s="1"/>
  <c r="P397" s="1"/>
  <c r="K397"/>
  <c r="L397" s="1"/>
  <c r="N336"/>
  <c r="O336" s="1"/>
  <c r="P336" s="1"/>
  <c r="K336"/>
  <c r="L336" s="1"/>
  <c r="N265"/>
  <c r="O265" s="1"/>
  <c r="P265" s="1"/>
  <c r="K265"/>
  <c r="L265" s="1"/>
  <c r="K248"/>
  <c r="L248" s="1"/>
  <c r="N248"/>
  <c r="O248" s="1"/>
  <c r="P248" s="1"/>
  <c r="K242"/>
  <c r="L242" s="1"/>
  <c r="N242"/>
  <c r="O242" s="1"/>
  <c r="P242" s="1"/>
  <c r="N239"/>
  <c r="O239" s="1"/>
  <c r="P239" s="1"/>
  <c r="K239"/>
  <c r="L239" s="1"/>
  <c r="K230"/>
  <c r="L230" s="1"/>
  <c r="N230"/>
  <c r="O230" s="1"/>
  <c r="P230" s="1"/>
  <c r="K222"/>
  <c r="L222" s="1"/>
  <c r="N222"/>
  <c r="O222" s="1"/>
  <c r="P222" s="1"/>
  <c r="K214"/>
  <c r="L214" s="1"/>
  <c r="N214"/>
  <c r="O214" s="1"/>
  <c r="P214" s="1"/>
  <c r="K206"/>
  <c r="L206" s="1"/>
  <c r="N206"/>
  <c r="O206" s="1"/>
  <c r="P206" s="1"/>
  <c r="K191"/>
  <c r="L191" s="1"/>
  <c r="N191"/>
  <c r="O191" s="1"/>
  <c r="P191" s="1"/>
  <c r="K182"/>
  <c r="L182" s="1"/>
  <c r="N182"/>
  <c r="O182" s="1"/>
  <c r="P182" s="1"/>
  <c r="K174"/>
  <c r="L174" s="1"/>
  <c r="L171" s="1"/>
  <c r="N174"/>
  <c r="O174" s="1"/>
  <c r="P174" s="1"/>
  <c r="P171" s="1"/>
  <c r="K166"/>
  <c r="L166" s="1"/>
  <c r="N166"/>
  <c r="O166" s="1"/>
  <c r="P166" s="1"/>
  <c r="K153"/>
  <c r="L153" s="1"/>
  <c r="N153"/>
  <c r="O153" s="1"/>
  <c r="P153" s="1"/>
  <c r="K145"/>
  <c r="L145" s="1"/>
  <c r="N145"/>
  <c r="O145" s="1"/>
  <c r="P145" s="1"/>
  <c r="K129"/>
  <c r="L129" s="1"/>
  <c r="N129"/>
  <c r="O129" s="1"/>
  <c r="P129" s="1"/>
  <c r="N125"/>
  <c r="O125" s="1"/>
  <c r="P125" s="1"/>
  <c r="K125"/>
  <c r="L125" s="1"/>
  <c r="K120"/>
  <c r="L120" s="1"/>
  <c r="N120"/>
  <c r="O120" s="1"/>
  <c r="P120" s="1"/>
  <c r="N114"/>
  <c r="O114" s="1"/>
  <c r="P114" s="1"/>
  <c r="K114"/>
  <c r="L114" s="1"/>
  <c r="K72"/>
  <c r="L72" s="1"/>
  <c r="N72"/>
  <c r="O72" s="1"/>
  <c r="P72" s="1"/>
  <c r="K60"/>
  <c r="L60" s="1"/>
  <c r="N60"/>
  <c r="O60" s="1"/>
  <c r="P60" s="1"/>
  <c r="K51"/>
  <c r="L51" s="1"/>
  <c r="N51"/>
  <c r="O51" s="1"/>
  <c r="P51" s="1"/>
  <c r="H46"/>
  <c r="K44"/>
  <c r="L44" s="1"/>
  <c r="N44"/>
  <c r="O44" s="1"/>
  <c r="P44" s="1"/>
  <c r="K40"/>
  <c r="L40" s="1"/>
  <c r="N40"/>
  <c r="O40" s="1"/>
  <c r="P40" s="1"/>
  <c r="K25"/>
  <c r="L25" s="1"/>
  <c r="L23" s="1"/>
  <c r="N25"/>
  <c r="O25" s="1"/>
  <c r="P25" s="1"/>
  <c r="P23" s="1"/>
  <c r="K20"/>
  <c r="L20" s="1"/>
  <c r="N20"/>
  <c r="O20" s="1"/>
  <c r="P20" s="1"/>
  <c r="K353"/>
  <c r="L353" s="1"/>
  <c r="N353"/>
  <c r="O353" s="1"/>
  <c r="P353" s="1"/>
  <c r="N244"/>
  <c r="O244" s="1"/>
  <c r="P244" s="1"/>
  <c r="K244"/>
  <c r="L244" s="1"/>
  <c r="N236"/>
  <c r="O236" s="1"/>
  <c r="P236" s="1"/>
  <c r="K236"/>
  <c r="L236" s="1"/>
  <c r="N228"/>
  <c r="O228" s="1"/>
  <c r="P228" s="1"/>
  <c r="K228"/>
  <c r="L228" s="1"/>
  <c r="N216"/>
  <c r="O216" s="1"/>
  <c r="P216" s="1"/>
  <c r="K216"/>
  <c r="L216" s="1"/>
  <c r="N208"/>
  <c r="O208" s="1"/>
  <c r="P208" s="1"/>
  <c r="K208"/>
  <c r="L208" s="1"/>
  <c r="N193"/>
  <c r="O193" s="1"/>
  <c r="P193" s="1"/>
  <c r="K193"/>
  <c r="L193" s="1"/>
  <c r="N184"/>
  <c r="O184" s="1"/>
  <c r="P184" s="1"/>
  <c r="K184"/>
  <c r="L184" s="1"/>
  <c r="N176"/>
  <c r="O176" s="1"/>
  <c r="P176" s="1"/>
  <c r="K176"/>
  <c r="L176" s="1"/>
  <c r="N164"/>
  <c r="O164" s="1"/>
  <c r="P164" s="1"/>
  <c r="K164"/>
  <c r="L164" s="1"/>
  <c r="N155"/>
  <c r="O155" s="1"/>
  <c r="P155" s="1"/>
  <c r="K155"/>
  <c r="L155" s="1"/>
  <c r="H131"/>
  <c r="N76"/>
  <c r="O76" s="1"/>
  <c r="P76" s="1"/>
  <c r="K76"/>
  <c r="L76" s="1"/>
  <c r="N18"/>
  <c r="O18" s="1"/>
  <c r="P18" s="1"/>
  <c r="K18"/>
  <c r="L18" s="1"/>
  <c r="L81"/>
  <c r="Q81" s="1"/>
  <c r="Q83"/>
  <c r="K544"/>
  <c r="L544" s="1"/>
  <c r="N544"/>
  <c r="O544" s="1"/>
  <c r="P544" s="1"/>
  <c r="K552"/>
  <c r="L552" s="1"/>
  <c r="N552"/>
  <c r="O552" s="1"/>
  <c r="P552" s="1"/>
  <c r="Q539"/>
  <c r="N554"/>
  <c r="O554" s="1"/>
  <c r="P554" s="1"/>
  <c r="K554"/>
  <c r="L554" s="1"/>
  <c r="K509"/>
  <c r="L509" s="1"/>
  <c r="N509"/>
  <c r="O509" s="1"/>
  <c r="P509" s="1"/>
  <c r="N505"/>
  <c r="O505" s="1"/>
  <c r="P505" s="1"/>
  <c r="K505"/>
  <c r="L505" s="1"/>
  <c r="K479"/>
  <c r="L479" s="1"/>
  <c r="N479"/>
  <c r="O479" s="1"/>
  <c r="P479" s="1"/>
  <c r="N506"/>
  <c r="O506" s="1"/>
  <c r="P506" s="1"/>
  <c r="K506"/>
  <c r="L506" s="1"/>
  <c r="K473"/>
  <c r="L473" s="1"/>
  <c r="N473"/>
  <c r="O473" s="1"/>
  <c r="P473" s="1"/>
  <c r="K465"/>
  <c r="L465" s="1"/>
  <c r="N465"/>
  <c r="O465" s="1"/>
  <c r="P465" s="1"/>
  <c r="K457"/>
  <c r="L457" s="1"/>
  <c r="N457"/>
  <c r="O457" s="1"/>
  <c r="P457" s="1"/>
  <c r="K439"/>
  <c r="L439" s="1"/>
  <c r="N439"/>
  <c r="O439" s="1"/>
  <c r="P439" s="1"/>
  <c r="K430"/>
  <c r="L430" s="1"/>
  <c r="N430"/>
  <c r="O430" s="1"/>
  <c r="P430" s="1"/>
  <c r="N423"/>
  <c r="O423" s="1"/>
  <c r="P423" s="1"/>
  <c r="K423"/>
  <c r="L423" s="1"/>
  <c r="N420"/>
  <c r="O420" s="1"/>
  <c r="P420" s="1"/>
  <c r="K420"/>
  <c r="L420" s="1"/>
  <c r="K412"/>
  <c r="L412" s="1"/>
  <c r="N412"/>
  <c r="O412" s="1"/>
  <c r="P412" s="1"/>
  <c r="N538"/>
  <c r="O538" s="1"/>
  <c r="P538" s="1"/>
  <c r="K538"/>
  <c r="L538" s="1"/>
  <c r="N441"/>
  <c r="O441" s="1"/>
  <c r="P441" s="1"/>
  <c r="K441"/>
  <c r="L441" s="1"/>
  <c r="N432"/>
  <c r="O432" s="1"/>
  <c r="P432" s="1"/>
  <c r="K432"/>
  <c r="L432" s="1"/>
  <c r="N414"/>
  <c r="O414" s="1"/>
  <c r="P414" s="1"/>
  <c r="K414"/>
  <c r="L414" s="1"/>
  <c r="K375"/>
  <c r="L375" s="1"/>
  <c r="N375"/>
  <c r="O375" s="1"/>
  <c r="P375" s="1"/>
  <c r="K364"/>
  <c r="L364" s="1"/>
  <c r="N364"/>
  <c r="O364" s="1"/>
  <c r="P364" s="1"/>
  <c r="N320"/>
  <c r="O320" s="1"/>
  <c r="P320" s="1"/>
  <c r="K320"/>
  <c r="L320" s="1"/>
  <c r="K318"/>
  <c r="L318" s="1"/>
  <c r="N318"/>
  <c r="O318" s="1"/>
  <c r="P318" s="1"/>
  <c r="K302"/>
  <c r="L302" s="1"/>
  <c r="N302"/>
  <c r="O302" s="1"/>
  <c r="P302" s="1"/>
  <c r="K291"/>
  <c r="L291" s="1"/>
  <c r="L289" s="1"/>
  <c r="N291"/>
  <c r="O291" s="1"/>
  <c r="P291" s="1"/>
  <c r="P289" s="1"/>
  <c r="K280"/>
  <c r="L280" s="1"/>
  <c r="N280"/>
  <c r="O280" s="1"/>
  <c r="P280" s="1"/>
  <c r="N264"/>
  <c r="O264" s="1"/>
  <c r="P264" s="1"/>
  <c r="K264"/>
  <c r="L264" s="1"/>
  <c r="K254"/>
  <c r="L254" s="1"/>
  <c r="N254"/>
  <c r="O254" s="1"/>
  <c r="P254" s="1"/>
  <c r="K238"/>
  <c r="L238" s="1"/>
  <c r="N238"/>
  <c r="O238" s="1"/>
  <c r="P238" s="1"/>
  <c r="N138"/>
  <c r="O138" s="1"/>
  <c r="P138" s="1"/>
  <c r="K138"/>
  <c r="L138" s="1"/>
  <c r="N74"/>
  <c r="O74" s="1"/>
  <c r="P74" s="1"/>
  <c r="K74"/>
  <c r="L74" s="1"/>
  <c r="N503"/>
  <c r="O503" s="1"/>
  <c r="P503" s="1"/>
  <c r="K503"/>
  <c r="L503" s="1"/>
  <c r="N471"/>
  <c r="O471" s="1"/>
  <c r="P471" s="1"/>
  <c r="K471"/>
  <c r="L471" s="1"/>
  <c r="N463"/>
  <c r="O463" s="1"/>
  <c r="P463" s="1"/>
  <c r="K463"/>
  <c r="L463" s="1"/>
  <c r="N455"/>
  <c r="O455" s="1"/>
  <c r="P455" s="1"/>
  <c r="K455"/>
  <c r="L455" s="1"/>
  <c r="H450"/>
  <c r="N385"/>
  <c r="O385" s="1"/>
  <c r="P385" s="1"/>
  <c r="K385"/>
  <c r="L385" s="1"/>
  <c r="N366"/>
  <c r="O366" s="1"/>
  <c r="P366" s="1"/>
  <c r="K366"/>
  <c r="L366" s="1"/>
  <c r="N357"/>
  <c r="O357" s="1"/>
  <c r="P357" s="1"/>
  <c r="K357"/>
  <c r="L357" s="1"/>
  <c r="L356"/>
  <c r="N252"/>
  <c r="O252" s="1"/>
  <c r="P252" s="1"/>
  <c r="K252"/>
  <c r="L252" s="1"/>
  <c r="K234"/>
  <c r="L234" s="1"/>
  <c r="N234"/>
  <c r="O234" s="1"/>
  <c r="P234" s="1"/>
  <c r="K226"/>
  <c r="L226" s="1"/>
  <c r="N226"/>
  <c r="O226" s="1"/>
  <c r="P226" s="1"/>
  <c r="K218"/>
  <c r="L218" s="1"/>
  <c r="N218"/>
  <c r="O218" s="1"/>
  <c r="P218" s="1"/>
  <c r="K210"/>
  <c r="L210" s="1"/>
  <c r="N210"/>
  <c r="O210" s="1"/>
  <c r="P210" s="1"/>
  <c r="K201"/>
  <c r="L201" s="1"/>
  <c r="N201"/>
  <c r="O201" s="1"/>
  <c r="P201" s="1"/>
  <c r="K195"/>
  <c r="L195" s="1"/>
  <c r="N195"/>
  <c r="O195" s="1"/>
  <c r="P195" s="1"/>
  <c r="K186"/>
  <c r="L186" s="1"/>
  <c r="N186"/>
  <c r="O186" s="1"/>
  <c r="P186" s="1"/>
  <c r="K178"/>
  <c r="L178" s="1"/>
  <c r="N178"/>
  <c r="O178" s="1"/>
  <c r="P178" s="1"/>
  <c r="K168"/>
  <c r="L168" s="1"/>
  <c r="N168"/>
  <c r="O168" s="1"/>
  <c r="P168" s="1"/>
  <c r="K162"/>
  <c r="L162" s="1"/>
  <c r="N162"/>
  <c r="O162" s="1"/>
  <c r="P162" s="1"/>
  <c r="P157"/>
  <c r="Q157" s="1"/>
  <c r="K156"/>
  <c r="L156" s="1"/>
  <c r="N156"/>
  <c r="O156" s="1"/>
  <c r="P156" s="1"/>
  <c r="K136"/>
  <c r="L136" s="1"/>
  <c r="N136"/>
  <c r="O136" s="1"/>
  <c r="P136" s="1"/>
  <c r="K135"/>
  <c r="L135" s="1"/>
  <c r="N135"/>
  <c r="O135" s="1"/>
  <c r="P135" s="1"/>
  <c r="N126"/>
  <c r="O126" s="1"/>
  <c r="P126" s="1"/>
  <c r="K126"/>
  <c r="L126" s="1"/>
  <c r="Q122"/>
  <c r="K106"/>
  <c r="L106" s="1"/>
  <c r="L105" s="1"/>
  <c r="N106"/>
  <c r="O106" s="1"/>
  <c r="P106" s="1"/>
  <c r="P105" s="1"/>
  <c r="K96"/>
  <c r="L96" s="1"/>
  <c r="N96"/>
  <c r="O96" s="1"/>
  <c r="P96" s="1"/>
  <c r="K68"/>
  <c r="L68" s="1"/>
  <c r="N68"/>
  <c r="O68" s="1"/>
  <c r="P68" s="1"/>
  <c r="N65"/>
  <c r="O65" s="1"/>
  <c r="P65" s="1"/>
  <c r="K65"/>
  <c r="L65" s="1"/>
  <c r="K64"/>
  <c r="L64" s="1"/>
  <c r="N64"/>
  <c r="O64" s="1"/>
  <c r="P64" s="1"/>
  <c r="H59"/>
  <c r="K55"/>
  <c r="L55" s="1"/>
  <c r="N55"/>
  <c r="O55" s="1"/>
  <c r="P55" s="1"/>
  <c r="K47"/>
  <c r="L47" s="1"/>
  <c r="N47"/>
  <c r="O47" s="1"/>
  <c r="P47" s="1"/>
  <c r="K42"/>
  <c r="L42" s="1"/>
  <c r="N42"/>
  <c r="O42" s="1"/>
  <c r="P42" s="1"/>
  <c r="K38"/>
  <c r="L38" s="1"/>
  <c r="N38"/>
  <c r="O38" s="1"/>
  <c r="P38" s="1"/>
  <c r="K35"/>
  <c r="L35" s="1"/>
  <c r="N35"/>
  <c r="O35" s="1"/>
  <c r="P35" s="1"/>
  <c r="K30"/>
  <c r="L30" s="1"/>
  <c r="N30"/>
  <c r="O30" s="1"/>
  <c r="P30" s="1"/>
  <c r="N351"/>
  <c r="O351" s="1"/>
  <c r="P351" s="1"/>
  <c r="K351"/>
  <c r="L351" s="1"/>
  <c r="K349"/>
  <c r="L349" s="1"/>
  <c r="N349"/>
  <c r="O349" s="1"/>
  <c r="P349" s="1"/>
  <c r="N328"/>
  <c r="O328" s="1"/>
  <c r="P328" s="1"/>
  <c r="K328"/>
  <c r="L328" s="1"/>
  <c r="K312"/>
  <c r="L312" s="1"/>
  <c r="N312"/>
  <c r="O312" s="1"/>
  <c r="P312" s="1"/>
  <c r="N304"/>
  <c r="O304" s="1"/>
  <c r="P304" s="1"/>
  <c r="K304"/>
  <c r="L304" s="1"/>
  <c r="N250"/>
  <c r="O250" s="1"/>
  <c r="P250" s="1"/>
  <c r="K250"/>
  <c r="L250" s="1"/>
  <c r="N240"/>
  <c r="O240" s="1"/>
  <c r="P240" s="1"/>
  <c r="K240"/>
  <c r="L240" s="1"/>
  <c r="N232"/>
  <c r="O232" s="1"/>
  <c r="P232" s="1"/>
  <c r="K232"/>
  <c r="L232" s="1"/>
  <c r="N220"/>
  <c r="O220" s="1"/>
  <c r="P220" s="1"/>
  <c r="K220"/>
  <c r="L220" s="1"/>
  <c r="N212"/>
  <c r="O212" s="1"/>
  <c r="P212" s="1"/>
  <c r="K212"/>
  <c r="L212" s="1"/>
  <c r="N197"/>
  <c r="O197" s="1"/>
  <c r="P197" s="1"/>
  <c r="K197"/>
  <c r="L197" s="1"/>
  <c r="N188"/>
  <c r="O188" s="1"/>
  <c r="P188" s="1"/>
  <c r="K188"/>
  <c r="L188" s="1"/>
  <c r="N180"/>
  <c r="O180" s="1"/>
  <c r="P180" s="1"/>
  <c r="K180"/>
  <c r="L180" s="1"/>
  <c r="N170"/>
  <c r="O170" s="1"/>
  <c r="P170" s="1"/>
  <c r="K170"/>
  <c r="L170" s="1"/>
  <c r="N160"/>
  <c r="O160" s="1"/>
  <c r="P160" s="1"/>
  <c r="K160"/>
  <c r="L160" s="1"/>
  <c r="N147"/>
  <c r="O147" s="1"/>
  <c r="P147" s="1"/>
  <c r="K147"/>
  <c r="L147" s="1"/>
  <c r="L141" s="1"/>
  <c r="N133"/>
  <c r="O133" s="1"/>
  <c r="P133" s="1"/>
  <c r="K133"/>
  <c r="L133" s="1"/>
  <c r="N118"/>
  <c r="O118" s="1"/>
  <c r="P118" s="1"/>
  <c r="K118"/>
  <c r="L118" s="1"/>
  <c r="J115"/>
  <c r="H115"/>
  <c r="F116"/>
  <c r="G116" s="1"/>
  <c r="T116" s="1"/>
  <c r="T108" s="1"/>
  <c r="S115"/>
  <c r="N98"/>
  <c r="O98" s="1"/>
  <c r="P98" s="1"/>
  <c r="K98"/>
  <c r="L98" s="1"/>
  <c r="N94"/>
  <c r="O94" s="1"/>
  <c r="P94" s="1"/>
  <c r="K94"/>
  <c r="L94" s="1"/>
  <c r="P89"/>
  <c r="Q89" s="1"/>
  <c r="N66"/>
  <c r="O66" s="1"/>
  <c r="P66" s="1"/>
  <c r="K66"/>
  <c r="L66" s="1"/>
  <c r="N62"/>
  <c r="O62" s="1"/>
  <c r="P62" s="1"/>
  <c r="K62"/>
  <c r="L62" s="1"/>
  <c r="N53"/>
  <c r="O53" s="1"/>
  <c r="P53" s="1"/>
  <c r="K53"/>
  <c r="L53" s="1"/>
  <c r="N32"/>
  <c r="O32" s="1"/>
  <c r="P32" s="1"/>
  <c r="K32"/>
  <c r="L32" s="1"/>
  <c r="H27"/>
  <c r="N22"/>
  <c r="O22" s="1"/>
  <c r="P22" s="1"/>
  <c r="K22"/>
  <c r="L22" s="1"/>
  <c r="T563" l="1"/>
  <c r="T565" s="1"/>
  <c r="H246"/>
  <c r="H541"/>
  <c r="H124"/>
  <c r="H370"/>
  <c r="P141"/>
  <c r="Q141" s="1"/>
  <c r="L117"/>
  <c r="L246"/>
  <c r="L205" s="1"/>
  <c r="P370"/>
  <c r="L33"/>
  <c r="P381"/>
  <c r="P70"/>
  <c r="L16"/>
  <c r="P93"/>
  <c r="P33"/>
  <c r="P131"/>
  <c r="L541"/>
  <c r="L131"/>
  <c r="L501"/>
  <c r="P117"/>
  <c r="P46"/>
  <c r="P501"/>
  <c r="L370"/>
  <c r="P16"/>
  <c r="L151"/>
  <c r="Q23"/>
  <c r="P246"/>
  <c r="P205" s="1"/>
  <c r="L381"/>
  <c r="P263"/>
  <c r="Q289"/>
  <c r="L70"/>
  <c r="P151"/>
  <c r="P541"/>
  <c r="S116"/>
  <c r="J116"/>
  <c r="H116"/>
  <c r="H108" s="1"/>
  <c r="H563" s="1"/>
  <c r="N115"/>
  <c r="O115" s="1"/>
  <c r="P115" s="1"/>
  <c r="K115"/>
  <c r="L115" s="1"/>
  <c r="Q171"/>
  <c r="P59"/>
  <c r="P124"/>
  <c r="P190"/>
  <c r="P410"/>
  <c r="P450"/>
  <c r="L525"/>
  <c r="P27"/>
  <c r="P297"/>
  <c r="L93"/>
  <c r="L46"/>
  <c r="Q105"/>
  <c r="L263"/>
  <c r="L59"/>
  <c r="L124"/>
  <c r="L190"/>
  <c r="L410"/>
  <c r="L450"/>
  <c r="P525"/>
  <c r="L27"/>
  <c r="N112"/>
  <c r="O112" s="1"/>
  <c r="P112" s="1"/>
  <c r="K112"/>
  <c r="L112" s="1"/>
  <c r="L297"/>
  <c r="H565" l="1"/>
  <c r="Q70"/>
  <c r="Q93"/>
  <c r="Q263"/>
  <c r="Q246"/>
  <c r="Q381"/>
  <c r="Q117"/>
  <c r="Q541"/>
  <c r="Q16"/>
  <c r="Q151"/>
  <c r="Q46"/>
  <c r="Q370"/>
  <c r="Q33"/>
  <c r="Q297"/>
  <c r="Q190"/>
  <c r="Q131"/>
  <c r="Q27"/>
  <c r="Q205"/>
  <c r="Q501"/>
  <c r="Q410"/>
  <c r="Q59"/>
  <c r="P563"/>
  <c r="Q450"/>
  <c r="Q124"/>
  <c r="K116"/>
  <c r="L116" s="1"/>
  <c r="L108" s="1"/>
  <c r="N116"/>
  <c r="O116" s="1"/>
  <c r="P116" s="1"/>
  <c r="P108" s="1"/>
  <c r="Q525"/>
  <c r="Q108" l="1"/>
  <c r="Q563" s="1"/>
  <c r="K565"/>
  <c r="O565"/>
</calcChain>
</file>

<file path=xl/sharedStrings.xml><?xml version="1.0" encoding="utf-8"?>
<sst xmlns="http://schemas.openxmlformats.org/spreadsheetml/2006/main" count="1463" uniqueCount="758">
  <si>
    <t>OBRA :</t>
  </si>
  <si>
    <t xml:space="preserve"> </t>
  </si>
  <si>
    <t>ORÇAMENTO :</t>
  </si>
  <si>
    <t>LOCAL :</t>
  </si>
  <si>
    <t>AVENIDA PINTO COBRA - CENTRO - POUSO ALEGRE / MG</t>
  </si>
  <si>
    <t>REF.: SINAPI 12/2015 - SETOP 06/2015</t>
  </si>
  <si>
    <t>REPROGRAMADO</t>
  </si>
  <si>
    <t>VALOR ADITIVADO / SUPRIMIDO</t>
  </si>
  <si>
    <t>ITEM</t>
  </si>
  <si>
    <t>CÓDIGO</t>
  </si>
  <si>
    <t>DESCRIÇÃO</t>
  </si>
  <si>
    <t>UD</t>
  </si>
  <si>
    <t>QUANT.</t>
  </si>
  <si>
    <t>PREÇO UNITÁRIO       (R$)</t>
  </si>
  <si>
    <t>PREÇO UNITÁRIO C/BDI(R$)</t>
  </si>
  <si>
    <t>PREÇO TOTAL (R$) INCLUSO BDI</t>
  </si>
  <si>
    <t>SERVIÇOS INICIAIS</t>
  </si>
  <si>
    <t xml:space="preserve">73960/001 </t>
  </si>
  <si>
    <t>INSTAL/LIGACAO PROVISORIA ELETRICA BAIXA TENSAO P/CANT OBRA OBRA,M3-CHAVE 100A CARGA 3KWH,20CV EXCL FORN MEDIDOR</t>
  </si>
  <si>
    <t xml:space="preserve">UN </t>
  </si>
  <si>
    <t xml:space="preserve">73992/001 </t>
  </si>
  <si>
    <t>LOCACAO CONVENCIONAL DE OBRA, ATRAVÉS DE GABARITO DE TABUAS CORRIDAS PONTALETADAS A CADA 1,50M</t>
  </si>
  <si>
    <t xml:space="preserve">M2 </t>
  </si>
  <si>
    <t xml:space="preserve">74220/001 </t>
  </si>
  <si>
    <t>TAPUME DE CHAPA DE MADEIRA COMPENSADA (6MM) - PINTURA A CAL H=2,20M</t>
  </si>
  <si>
    <t>LIGACAO PROVISORIA AGUA C/SANITARIO</t>
  </si>
  <si>
    <t>UN</t>
  </si>
  <si>
    <t>LOCAÇÃO DE PRAÇA</t>
  </si>
  <si>
    <t>74209/001</t>
  </si>
  <si>
    <t>PLACA DE OBRA EM CHAPA DE AÇO GALVANIZADO</t>
  </si>
  <si>
    <t>M2</t>
  </si>
  <si>
    <t>INSTALAÇÕES DO CANTEIRO / SERVIÇOS GERAIS</t>
  </si>
  <si>
    <t>CARGA MANUAL E REMOCAO E ENTULHO COM TRANSPORTE ATE 1KM</t>
  </si>
  <si>
    <t xml:space="preserve">M3 </t>
  </si>
  <si>
    <t xml:space="preserve">73948/016 </t>
  </si>
  <si>
    <t>LIMPEZA MANUAL DO TERRENO (C/ RASPAGEM SUPERFICIAL)</t>
  </si>
  <si>
    <t xml:space="preserve">74242/001 </t>
  </si>
  <si>
    <t>BARRACAO DE OBRA EM TABUAS DE MADEIRA COM BANHEIRO, COBERTURA EM FIBROCIMENTO 4 MM, INCLUSO INSTALACOES HIDRO-SANITARIAS E ELETRICAS</t>
  </si>
  <si>
    <t xml:space="preserve">MOVIMENTO TERRA </t>
  </si>
  <si>
    <t>ATERRO INTERNO (EDIFICACOES) COMPACTADO MANUALMENTE</t>
  </si>
  <si>
    <t>TRANSPORTE DE MATERIAL DE QUALQUER NATUREZA DMT &gt; 10 KM</t>
  </si>
  <si>
    <t xml:space="preserve">T/KM </t>
  </si>
  <si>
    <t xml:space="preserve">74005/001 </t>
  </si>
  <si>
    <t>COMPACTACAO MECANICA, SEM CONTROLE DO GC (C/COMPACTADOR PLACA 400 KG)</t>
  </si>
  <si>
    <t xml:space="preserve">74010/001 </t>
  </si>
  <si>
    <t>CARGA E DESCARGA MECANICA DE SOLO UTILIZANDO CAMINHAO BASCULANTE 5,0M3/11T E PA CARREGADEIRA SOBRE PNEUS * 105 HP * CAP. 1,72M3.</t>
  </si>
  <si>
    <t xml:space="preserve">SI_3062 </t>
  </si>
  <si>
    <t>ESCAVACAO DE VALA NAO ESCORADA EM MATERIAL DE 1A CATEGORIA COM PROFUNDIDADE DE 1,5 ATE 3M COM RETROESCAVADEIRA 75HP, SEM ESGOTAMENTO.</t>
  </si>
  <si>
    <t>INFRA-ESTRUTURA (BALDRAMES)</t>
  </si>
  <si>
    <t>FORMA DE MADEIRA COMUM PARA FUNDACOES</t>
  </si>
  <si>
    <t>CORTE E REPARO EM CABECA DE ESTACA</t>
  </si>
  <si>
    <t xml:space="preserve">73942/002 </t>
  </si>
  <si>
    <t>ARMACAO (FORN., CORTE, DOBRA E COLOC.) ACO CA-60 DIAM. 3,4 A 6,0MM.</t>
  </si>
  <si>
    <t xml:space="preserve">KG </t>
  </si>
  <si>
    <t xml:space="preserve">73964/001 </t>
  </si>
  <si>
    <t>REATERRO DE VALA/CAVA COMPACTADA A MACO EM CAMADAS DE 20CM</t>
  </si>
  <si>
    <t xml:space="preserve">73965/010 </t>
  </si>
  <si>
    <t>ESCAVACAO MANUAL DE VALA EM MATERIAL DE 1A CATEGORIA ATE 1,5M EXCLUINDO ESGOTAMENTO / ESCORAMENTO</t>
  </si>
  <si>
    <t xml:space="preserve">73972/001 </t>
  </si>
  <si>
    <t>CONCRETO ESTRUTURAL FCK=25MPA, VIRADO EM BETONEIRA, NA OBRA, SEM LANÇAMENTO</t>
  </si>
  <si>
    <t xml:space="preserve">74016/001 </t>
  </si>
  <si>
    <t>REGULARIZACAO E COMPACTACAO DE TERRENO, COM SOQUETE</t>
  </si>
  <si>
    <t xml:space="preserve">74115/001. </t>
  </si>
  <si>
    <t>CONCRETO PARA LASTRO (INCLUSIVE FUNDO DOS BLOCOS)</t>
  </si>
  <si>
    <t>74156/002</t>
  </si>
  <si>
    <t>ESTACA A TRADO(BROCA) D=25CM C/CONCRETO FCK=15MPA SEM AÇO MOLDADA IN LOCO</t>
  </si>
  <si>
    <t>M</t>
  </si>
  <si>
    <t xml:space="preserve">74157/001 </t>
  </si>
  <si>
    <t>LANÇAMENTO E ADENSAMENTO DE CONCRETO EM FUNDAÇÕES.</t>
  </si>
  <si>
    <t xml:space="preserve">74207/001 </t>
  </si>
  <si>
    <t>TRANSPORTE DE MATERIAL - BOTA-FORA, D.M.T = 10,0 KM</t>
  </si>
  <si>
    <t xml:space="preserve">74254/002 </t>
  </si>
  <si>
    <t>ARMACAO (FORNECIMENTO, CORTE, DOBRA E COLOCAÇÃO) ACO CA-50, DIAM. 6,3 (1/4 ) À 12,5MM(1/2 )</t>
  </si>
  <si>
    <t>FUN-001</t>
  </si>
  <si>
    <t>INFRAESTRUTURA - FUNDAÇÕES PROFUNDAS</t>
  </si>
  <si>
    <t>FUN-STR-005</t>
  </si>
  <si>
    <t>MOBILIZAÇÃO E DESMOBILIZAÇÃO DE EQUIPAMENTO PARA ESTACAS TIPO STRAUSS DMT ATÉ 50KM</t>
  </si>
  <si>
    <t>FUN-STR-010</t>
  </si>
  <si>
    <t>ESCAVAÇÃO E CONCRETAGEM DE ESTACA TIPO STRAUSS MOLDADA "IN LOCO" DN: 200/250MM</t>
  </si>
  <si>
    <r>
      <t>ESCAVACAO MANUAL DE VALA EM MATERIAL DE 1A CATEGORIA ATE 1,5M EXCLUINDO ESGOTAMENTO / ESCORAMENTO</t>
    </r>
    <r>
      <rPr>
        <b/>
        <sz val="8"/>
        <rFont val="Arial"/>
        <family val="2"/>
      </rPr>
      <t xml:space="preserve"> (BLOCOS E BALDRAMES)</t>
    </r>
  </si>
  <si>
    <t>SON-SPT-015</t>
  </si>
  <si>
    <t>MOBILIZAÇÃO E DESMOBILIZAÇÃO DE EQUIPAMENTO PARA SONDAGEM A PERCUSSÃO D=4"</t>
  </si>
  <si>
    <t>SON-SPT-020</t>
  </si>
  <si>
    <t>SONDAGEM A PERCUSSÃO D=4" COM MEDIDA DE SPT</t>
  </si>
  <si>
    <t>SUPER-ESTRUTURA</t>
  </si>
  <si>
    <t>JUNTA DE DILATACAO COM ISOPOR 10 MM</t>
  </si>
  <si>
    <t xml:space="preserve">74075/002 </t>
  </si>
  <si>
    <t>FORMA MADEIRA COMP RESINADA 12MM P/ESTRUTURA REAPROV 3 VEZES - CORTE/ MONTAGEM/ESCORAMENTO/DESFORMA</t>
  </si>
  <si>
    <t xml:space="preserve">74157/002 </t>
  </si>
  <si>
    <t>LANCAMENTO MANUAL DE CONCRETO EM ESTRUTURAS, INCL. VIBRACAO</t>
  </si>
  <si>
    <t xml:space="preserve">74254/001 </t>
  </si>
  <si>
    <t>ARMACAO (FORNECIMENTO, CORTE, DOBRA E COLOCAÇÃO) ACO CA-50 DIAM. 16,0 (5/8 ) À 25,0MM (1 )</t>
  </si>
  <si>
    <t xml:space="preserve">CPS.73970/001A </t>
  </si>
  <si>
    <t>ESTRUTURA METALICA EM ACO ASTM A570 GR36</t>
  </si>
  <si>
    <t xml:space="preserve"> FORNECIMENTO E COLOCACAO DE TELA SOLDADA Q196 (3,11 KG/M²)</t>
  </si>
  <si>
    <t>PMPA-COT</t>
  </si>
  <si>
    <t>ENCHIMENTO DE LAJE COM EPS - ISOPOR</t>
  </si>
  <si>
    <t>PAREDES E PAINEIS</t>
  </si>
  <si>
    <t>73935/001</t>
  </si>
  <si>
    <t>ALVENARIA EM TIJOLO CERAMICO FURADO 10X20X20CM, 1/2 VEZ, ASSENTADO EM ARGAMASSA TRACO 1:4 (CIMENTO E AREIA),E=1 CM</t>
  </si>
  <si>
    <t xml:space="preserve">73988/002 </t>
  </si>
  <si>
    <t>ENCUNHAMENTO (APERTO) DE ALVENARIA 1/2 VEZ COM ARGAMASSA TRACO 1:0,5:8 (CIMENTO, CAL E AREIA), ESPESSURA 3CM</t>
  </si>
  <si>
    <t xml:space="preserve">M </t>
  </si>
  <si>
    <t xml:space="preserve">74200/001 </t>
  </si>
  <si>
    <t>VERGA 10X10CM EM CONCRETO PRÉ-MOLDADO FCK=20MPA (PREPARO COM BETONEIRA) AÇO CA60, BITOLA FINA, INCLUSIVE FORMAS TABUA 3A.</t>
  </si>
  <si>
    <t>DIVISORIA EM GRANITO E=2CM POLIDO DUAS FACES INCLUSIVE ASSENTAMENTO( CINZA ANDORINHA )</t>
  </si>
  <si>
    <t xml:space="preserve">AGT.160909 </t>
  </si>
  <si>
    <t>FECHAM.LATERAL TELHA PINT.ELETROSTATICA #0,65 mm C/ ACESSÓRIOS</t>
  </si>
  <si>
    <t>ALV- DRY-005</t>
  </si>
  <si>
    <t>PAREDE (DRY WALL) DE GESSO ACARTONADO SIMPLES INTERNA, ESPESSURA FINAL 100 mm, PÉ-DIREITO MÁXIMO 3,15 m</t>
  </si>
  <si>
    <t xml:space="preserve">AGS.110101 </t>
  </si>
  <si>
    <t>ALVENARIA ESTRUTURAL (10x20x40) ARMADA</t>
  </si>
  <si>
    <t>73774/001</t>
  </si>
  <si>
    <t>ESQUADRIAS DE MADEIRA</t>
  </si>
  <si>
    <t xml:space="preserve">COT.270807 </t>
  </si>
  <si>
    <t>PLACA DE ACO INOXIDAVEL NR.20 ESP. 1MM PROTEÇÃO PORTA (90 X 40 CM)</t>
  </si>
  <si>
    <t xml:space="preserve">CPS.74139/001 </t>
  </si>
  <si>
    <r>
      <t>PM1 - 0,9 X 2,1 M MELANIMÍCO COR CINZA 1 ABRIR -</t>
    </r>
    <r>
      <rPr>
        <sz val="8"/>
        <rFont val="Arial"/>
        <family val="2"/>
      </rPr>
      <t>CAMARIN , SANITÁRIO MASC. E FEMININO, ADM. ALMOXARIFADO, COPA, SALA MULTIUSO, CRAS RECEPÇÃO, ATENDIMENTO, COORDENAÇÃO  E MULTIUSO.</t>
    </r>
  </si>
  <si>
    <t xml:space="preserve">CPS.74139/002 </t>
  </si>
  <si>
    <t>PM2 - 0,9 X 2,1 M MELANIMÍCO COR CINZA 1 ABRIR - SANITÁRIO PNE</t>
  </si>
  <si>
    <t xml:space="preserve">CPS.74139/004 </t>
  </si>
  <si>
    <t>PD1 - 0,6 X 1,6 M MELANIMÍCO COR CINZA 1 ABRIR - SANITÁRIO MASCULINO E FEMININO</t>
  </si>
  <si>
    <t>COT-73906</t>
  </si>
  <si>
    <t>PC1-2,2X2,1PORTA DE MADEIRA  DE CORRER -DEPOSITO CINETEATRO</t>
  </si>
  <si>
    <t>FERRAGENS</t>
  </si>
  <si>
    <t xml:space="preserve">90830A </t>
  </si>
  <si>
    <t xml:space="preserve">FECHADURAS COM CILINDRO PARA PORTAS EXTERNAS, PARA USO EM AMBIENTES DE TRÁFEGO INTENSO, CONFORME NORMA ABNT NBR 14913 </t>
  </si>
  <si>
    <t>PUXADOR DE AÇO INOX ESCOVADO PARA PORTA DIAM. 35MM 0,50M</t>
  </si>
  <si>
    <t xml:space="preserve">COT.74070/001B </t>
  </si>
  <si>
    <t>BARRA ANTI-PANICO NT1 MAÇANETA E CILINDRO</t>
  </si>
  <si>
    <t>ESQUADRIAS DE ALUMINIO</t>
  </si>
  <si>
    <t xml:space="preserve">CPS.73809/001A </t>
  </si>
  <si>
    <t>JA1 - 7,54 X 2,2 M ALUMÍNIO ANODIZADO COR NATURAL MAXIM AR - BIBLIOTECA, SALA MULTIUSO</t>
  </si>
  <si>
    <t xml:space="preserve">CPS.73809/002A </t>
  </si>
  <si>
    <t xml:space="preserve">JA2 - 6,56 X 2,2 M ALUMÍNIO ANODIZADO COR NATURAL CORRER - BIBLIOTECA </t>
  </si>
  <si>
    <t xml:space="preserve">CPS.73809/003A </t>
  </si>
  <si>
    <t xml:space="preserve">JA3 - 6,91 X 2,2 M ALUMÍNIO ANODIZADO COR NATURAL CORRER - TELECENTRO </t>
  </si>
  <si>
    <t xml:space="preserve">CPS.73809/004A </t>
  </si>
  <si>
    <t xml:space="preserve">JA4 - 7,85 X 2,2 M ALUMÍNIO ANODIZADO COR NATURAL CORRER - TELECENTRO </t>
  </si>
  <si>
    <t xml:space="preserve">CPS.73809/005A </t>
  </si>
  <si>
    <t>JA5 - 7,85 X 2,2 M ALUMÍNIO ANODIZADO COR NATURAL CORRER - CABINE DE PROJEÇÃO</t>
  </si>
  <si>
    <t xml:space="preserve">CPS.73809/006A </t>
  </si>
  <si>
    <t xml:space="preserve">JA6 - 3,85 X 2,2 M ALUMÍNIO ANODIZADO COR NATURAL MAXIM AR - CRAS RECEPÇÃO, CRAS COORDENAÇÃO </t>
  </si>
  <si>
    <t xml:space="preserve">CPS.73809/007A </t>
  </si>
  <si>
    <t xml:space="preserve">JA7 - 1,77 X 2,2 M ALUMÍNIO ANODIZADO COR NATURAL MAXIM AR - CRAS ATENDIMENTO, CRAS COORDENAÇÃO </t>
  </si>
  <si>
    <t xml:space="preserve">CPS.73809/008A </t>
  </si>
  <si>
    <t xml:space="preserve">JA8 - 1,2 X 0,6 M ALUMÍNIO ANODIZADO COR NATURAL MAXIMAR - CABINE DE PROJEÇÃO </t>
  </si>
  <si>
    <t xml:space="preserve">CPS.74071/002A </t>
  </si>
  <si>
    <t xml:space="preserve">PORTA  (VENEZIANA) - 0,6 X 1,6 M ALUMÍNIO ANODIZADO COR NATURAL FIXA - GINÁSIO </t>
  </si>
  <si>
    <t xml:space="preserve">CPS.74071/003A </t>
  </si>
  <si>
    <t xml:space="preserve">PA1 - 0,9 X 2,1 M ALUMÍNIO ANODIZADO COR NATURAL 2 ARBIR - TELECENTRO, BIBLIOTECA </t>
  </si>
  <si>
    <t xml:space="preserve">JA9 - 0,6 X 0,6 M ALUMÍNIO ANODIZADO COR NATURAL MAXIMAR - CABINE DE PROJEÇÃO </t>
  </si>
  <si>
    <t>ESQUADRIAS METÁLICAS</t>
  </si>
  <si>
    <t>COT.CULTURA06</t>
  </si>
  <si>
    <t>PF2-PORTAS ACÚSTICAS 50DB, METÁLICAS, 2 FOLHAS, 2.00M X 2.20M, COM ACABAMENTO PARA PINTURA, COM BARRAS ANTI-PÂNICO</t>
  </si>
  <si>
    <t>COT.CULTURA07</t>
  </si>
  <si>
    <t>PF1-PORTAS ACÚSTICAS 50DB, METÁLICAS, 1 FOLHAS, 1.00M X 2.10M, COM ACABAMENTO PARA PINTURA, COM BARRA ANTI-PÂNICO</t>
  </si>
  <si>
    <t>SER-JAN-040</t>
  </si>
  <si>
    <t>JA1 - 7,54 X 2,2 M ALUMÍNIO ANODIZADO COR NATURAL MAXIM AR - BIBLIOTECA</t>
  </si>
  <si>
    <t>SER-JAN-030</t>
  </si>
  <si>
    <t>JA8 - 1,2 X 0,6 M ALUMÍNIO ANODIZADO COR NATURAL MAXIMAR - BANHEIROS</t>
  </si>
  <si>
    <t xml:space="preserve">IMPERMEABILIZAÇÃO </t>
  </si>
  <si>
    <t xml:space="preserve"> 73971/001 </t>
  </si>
  <si>
    <t xml:space="preserve"> IMPERMEABILIZACAO COM MANTA ASFALTICA 4MM   (LAJE DA CAIXA DE ÁGUA)</t>
  </si>
  <si>
    <t xml:space="preserve"> PROTECAO MECANICA COM ARGAMASSA TRACO 1:3 (CIMENTO E AREIA), ESPESSURA 2 CM(LAJE DA CAIXA DE ÁGUA)</t>
  </si>
  <si>
    <t xml:space="preserve">74106/001 </t>
  </si>
  <si>
    <t>IMPERMEABILIZACAO COM TINTA BETUMINOSA EM FUNDACOES, BALDRAMES E MUROS DE ARRIMO, DUAS DEMAOS</t>
  </si>
  <si>
    <t>73920/001</t>
  </si>
  <si>
    <t>REGULARIZACAO DE PISO/BASE EM ARGAMASSA TRACO 1:3 (CIMENTO E AREIA), ESPESSURA 2,0CM, PREPARO MANUAL</t>
  </si>
  <si>
    <t>REVESTIMENTO DE TETOS</t>
  </si>
  <si>
    <t>74105/001</t>
  </si>
  <si>
    <t>REVESTIMENTO DE TETOS COM GESSO CORRIDO DISTORCIDO</t>
  </si>
  <si>
    <t>REVESTIMENTO DE PAREDES</t>
  </si>
  <si>
    <t xml:space="preserve">73927/009 </t>
  </si>
  <si>
    <t>EMBOCO PAULISTA (MASSA UNICA) TRACO 1:2:8 (CIMENTO, CAL E AREIA), ESPESSURA 2,0CM, PREPARO MANUAL (BASE PARA REVESTIMENTO CERÂMICO)</t>
  </si>
  <si>
    <t xml:space="preserve">74161/001 </t>
  </si>
  <si>
    <t>CHAPISCO EM PAREDES TRACO 1:3 (CIMENTO E AREIA), ESPESSURA 0,5CM, PREPARO MECANICO</t>
  </si>
  <si>
    <t>23710/005</t>
  </si>
  <si>
    <t>REBOCO PAULISTA A-14 (1CALH:4ARMLC+100kgCI/M3)</t>
  </si>
  <si>
    <t>73912/002</t>
  </si>
  <si>
    <t>AZULEJOS CERÂMICO 20 X 20 CM NA COR BRANCO JUNTA RETA ATÉ AO TETO 3MM, LINHA RETRÔ ELIANE OU EQUIVALENTE TÉCNICO ATÉ 1,80M DE ALTURA</t>
  </si>
  <si>
    <t>COMP.CULTURA04</t>
  </si>
  <si>
    <t>REVESTIMENTO DE PAREDES COM ENCHIMENTO EM ALVENARIA, CONFORME PLANTA BAIXA</t>
  </si>
  <si>
    <t>COT.CULTURA05</t>
  </si>
  <si>
    <t>FORRO ACÚSTICO ( SÓ ENTRE A CABINE E A ROTUNDA ) EM PAINEL ISOSOUD SOB A LAJE DE TETO</t>
  </si>
  <si>
    <t>REVESTIMENTO DE PISOS</t>
  </si>
  <si>
    <t>PISO LAMINADO EM CONCRETO 20 MPA PREPARO MECANICO (QUADRA DE ESPORTES), ESPESSURA 7CM, INCLUSO SELANTE ELASTICO A BASE DE POLIURETANO</t>
  </si>
  <si>
    <t xml:space="preserve">73920/001 </t>
  </si>
  <si>
    <t>CONCRETO PARA LASTRO</t>
  </si>
  <si>
    <t xml:space="preserve">AGT.221101 </t>
  </si>
  <si>
    <t>PISO EM GRANITINA E=2CM E JUNTA PLASTICA 27MM</t>
  </si>
  <si>
    <t xml:space="preserve">AGT.221102 </t>
  </si>
  <si>
    <t>RODAPE DE GRANITINA</t>
  </si>
  <si>
    <t xml:space="preserve">ML </t>
  </si>
  <si>
    <t xml:space="preserve">COT.73829/001 </t>
  </si>
  <si>
    <t xml:space="preserve">PISO CERÂMICO 41X41, PEI 5, ANITIDERRAPANTE, COR BRANCO LINHA CARGO PLUS WHITE ELIANE OU EQUIVALENTE TÉCNICO </t>
  </si>
  <si>
    <t xml:space="preserve">CPS.74111/002 </t>
  </si>
  <si>
    <t>SOLEIRA DE GRANITO CINZA ANDORINHA, ESPESSURA 2CM, ASSENTADA COM ARGAMASSA COLANTE</t>
  </si>
  <si>
    <t>COT.CULTURA01</t>
  </si>
  <si>
    <t>PISO DO PALCO EM FRISOS MACHO-FÊMEA 0.10M X 0.024M, EM MADEIRA SECA E APARELHADA, SOBRE BARROTES DE MAÇARANDUBA 0.07M X 0.04M FIXADO NA LAJE COM PARAFUSOS E BUCHAS. OS ESPAÇOS VAZIOS SOBRE O PISO DEVE SER PREENCHIDO COM PLACAS DE ISOPOR</t>
  </si>
  <si>
    <t>PAVIMENTAÇÃO EXTERNA</t>
  </si>
  <si>
    <t>PISO RUSTICO EM CONCRETO, ESPESSURA 7CM, COM JUNTAS EM MADEIRA</t>
  </si>
  <si>
    <t xml:space="preserve">73789/002 </t>
  </si>
  <si>
    <t>MEIO-FIO DE CONCRETO MOLDADO NO LOCAL, USINADO 15 MPA, COM 0,30 M ALTURA X 0,15 M BASE, REJUNTE EM ARGAMASSA TRACO 1:3,5 (CIMENTO E AREIA)</t>
  </si>
  <si>
    <t xml:space="preserve">74115/001 </t>
  </si>
  <si>
    <t xml:space="preserve">CPA.68325 </t>
  </si>
  <si>
    <t>PISO LAMINADO EM CONCRETO 20 MPA PREPARO MECANICO (PISTA CAMINHADA), ESPESSURA 7CM, INCLUSO SELANTE ELASTICO A BASE DE POLIURETANO</t>
  </si>
  <si>
    <t xml:space="preserve">CPS.72187 </t>
  </si>
  <si>
    <t>PISO TÁTIL ALERTA (AMARELO) (40X40X6)CM RESISTENCIA DE 35MPA , ASSENTADO COM ARGAMASSA TRACO 1:3 (CIMENTO E AREIA)</t>
  </si>
  <si>
    <t xml:space="preserve">CPS.72187B </t>
  </si>
  <si>
    <t>PISO TÁTIL DIRECIONAL (VERMELHO) (40X40X6)CM RESISTENCIA DE 35MPA , ASSENTADO COM ARGAMASSA TRACO 1:3 (CIMENTO E AREIA)</t>
  </si>
  <si>
    <t xml:space="preserve">CPS.73764/001 </t>
  </si>
  <si>
    <t>BLOCOS DE CONCRETO SERÃO DO TIPO “PAVER” MODELO PLATÔ 10X20 CM, DEVERÃO SER RESISTENTES À COMPREENSÃO MAIOR OU IGUAL A 35 MPA, COM ESPESSURA DE 6CM,” NA COR CINZA NATURAL.</t>
  </si>
  <si>
    <t>PAVIMENTAÇÃO EXTERNA E PAISAGISMO COMPLEMENTARES</t>
  </si>
  <si>
    <t>73789/003</t>
  </si>
  <si>
    <r>
      <t xml:space="preserve">MEIO-FIO DE CONCRETO MOLDADO NO LOCAL, USINADO 15 MPA, COM 0,30 M ALTURA X 0,15 M BASE, REJUNTE EM ARGAMASSA TRACO 1:3,5 (CIMENTO E AREIA) - </t>
    </r>
    <r>
      <rPr>
        <b/>
        <sz val="8"/>
        <color indexed="8"/>
        <rFont val="Arial"/>
        <family val="2"/>
      </rPr>
      <t>REBAIXADO</t>
    </r>
  </si>
  <si>
    <t>73967/002</t>
  </si>
  <si>
    <t>PLANTIO DE MUDAS DE ARVORES COM ALTURA MAIOR QUE 2,00M</t>
  </si>
  <si>
    <t>73967/003</t>
  </si>
  <si>
    <t>PLANTIO DE ARBUSTOS INCLUSIVE MUDA (SANSÃO DO CAMPO) FECHAMENTO LATERAL</t>
  </si>
  <si>
    <t>VIDROS</t>
  </si>
  <si>
    <t xml:space="preserve">CPS.72118A </t>
  </si>
  <si>
    <t>VIDRO LISO INCOLOR, ESPESSURA 6MM (FORNECIMENTO E COLOCAÇÃO)</t>
  </si>
  <si>
    <r>
      <t>VE</t>
    </r>
    <r>
      <rPr>
        <sz val="11"/>
        <color rgb="FFFF0000"/>
        <rFont val="Calibri"/>
        <family val="2"/>
      </rPr>
      <t>RIFICAR O QUANTITATIVO MEDIDO</t>
    </r>
  </si>
  <si>
    <t xml:space="preserve">73786/005A </t>
  </si>
  <si>
    <t>TUBO DE AÇO GALVANIZADO Ø50MM (2") - FORNECIMENTO E INSTALAÇÃO</t>
  </si>
  <si>
    <t xml:space="preserve">73935/001 </t>
  </si>
  <si>
    <t>ALVENARIA EM TIJOLO CERAMICO FURADO 10X20X20CM, 1/2 VEZ, ASSENTADO EM ARGAMASSA TRACO 1:4 (CIMENTO E AREIA)</t>
  </si>
  <si>
    <t xml:space="preserve">73965/015 </t>
  </si>
  <si>
    <t>ESCAVACAO MANUAL DE VALAS H &lt;= 1,50 M</t>
  </si>
  <si>
    <t xml:space="preserve">AGT.51001 </t>
  </si>
  <si>
    <t>ESCAVACAO TUBULOES A CEU ABERTO</t>
  </si>
  <si>
    <t xml:space="preserve">CPS.70769 </t>
  </si>
  <si>
    <t>CANTONEIRA EM AÇO 1/4" ABAS IGUAIS 0,05M CADA PARA PROTEÇÃO DAS QUINAS</t>
  </si>
  <si>
    <t xml:space="preserve">CPS.73631 </t>
  </si>
  <si>
    <t>GUARDA-CORPO EM TUBO DE ACO GALVANIZADO 2"</t>
  </si>
  <si>
    <t>200499-AGT</t>
  </si>
  <si>
    <t>TE DE PVC SOLDAVEL AGUA FRIA 25MM - FORNECIMENTO E INSTALACAO</t>
  </si>
  <si>
    <t>TE DE PVC SOLDAVEL AGUA FRIA 32MM - FORNECIMENTO E INSTALACAO</t>
  </si>
  <si>
    <t>TE DE PVC SOLDAVEL AGUA FRIA 50MM - FORNECIMENTO E INSTALACAO</t>
  </si>
  <si>
    <t>JOELHO PVC SOLDAVEL 90º AGUA FRIA 25MM - FORNECIMENTO E INSTALACAO</t>
  </si>
  <si>
    <t>JOELHO PVC SOLDAVEL 45º AGUA FRIA 25MM - FORNECIMENTO E INSTALACAO</t>
  </si>
  <si>
    <t>JOELHO PVC SOLDAVEL 90º AGUA FRIA 32MM - FORNECIMENTO E INSTALACAO</t>
  </si>
  <si>
    <t>LUVA PVC SOLDAVEL AGUA FRIA 25MM - FORNECIMENTO E INSTALACAO</t>
  </si>
  <si>
    <t>REDUCAO DE PVC SOLDAVEL AGUA FRIA 50X25MM - FORNECIMENTO E INSTALACAO</t>
  </si>
  <si>
    <t>ADAPTADOR PVC SOLDAVEL COM FLANGES E ANEL PARA CAIXA D´AGUA 25MMX3/4"" - FORNECIMENTO E INSTALACAO</t>
  </si>
  <si>
    <t>ADAPTADOR PVC SOLDAVEL COM FLANGES E ANEL PARA CAIXA D´AGUA 32MMX1"" - FORNECIMENTO E INSTALACAO</t>
  </si>
  <si>
    <t>ADAPTADOR PVC SOLDAVEL COM FLANGES E ANEL PARA CAIXA D´AGUA 50MMX1.1/2"" - FORNECIMENTO E INSTALACAO</t>
  </si>
  <si>
    <t>TE PVC SOLDAVEL COM ROSCA METALICA AGUA FRIA 25MMX25MMX1/2"" - FORNECIMENTO E INSTALACAO</t>
  </si>
  <si>
    <t>JOELHO PVC SOLDAVEL COM ROSCA METALICA 90º AGUA FRIA 25MMX1/2"" - FORNECIMENTO E INSTALACAO</t>
  </si>
  <si>
    <t>JOELHO PVC SOLDAVEL COM ROSCA 90º AGUA FRIA 25MMX3/4"" - FORNECIMENTO E INSTALACAO</t>
  </si>
  <si>
    <t>LUVA PVC SOLDAVEL COM ROSCA AGUA FRIA 32MMX1"" - FORNECIMENTO E INSTALACAO</t>
  </si>
  <si>
    <t xml:space="preserve">73777/002 </t>
  </si>
  <si>
    <t>TUBO DE PVC BRANCO ROSQUEÁVEL 3/4"" - FORNECIMENTO E INSTALAÇÃO</t>
  </si>
  <si>
    <t xml:space="preserve">73779/002 </t>
  </si>
  <si>
    <t>TUBO DE PVC BRANCO, SEM CONEXÕES, PONTA, BOLSA E VIROLA 50MM - FORNECIMENTO E INSTALAÇÃO</t>
  </si>
  <si>
    <t>PISTA DE SKATE</t>
  </si>
  <si>
    <t>PIN-ACR-010</t>
  </si>
  <si>
    <t>PINTURA LATEX ACRILICA AMBIENTES INTERNOS/EXTERNOS, TRES DEMAOS NA COR BRANCO GELO</t>
  </si>
  <si>
    <t>AGUA FRIA</t>
  </si>
  <si>
    <t>TE DE PVC ROSQUEAVEL AGUA FRIA 25X1/2"" - FORNECIMENTO E INSTALACAO</t>
  </si>
  <si>
    <t>TORNEIRA CROMADA 1/2"" OU 3/4"" PARA JARDIM OU TANQUE, PADRAO ALTO - FORNECIMENTO E INSTALACAO</t>
  </si>
  <si>
    <t>CURVA PVC CURTA 90º ESGOTO 100MM - FORNECIMENTO E INSTALACAO</t>
  </si>
  <si>
    <t>CURVA PVC LONGA 90º ESGOTO 100MM - FORNECIMENTO E INSTALACAO</t>
  </si>
  <si>
    <t>CURVA PVC LONGA 45º ESGOTO 100MM - FORNECIMENTO E INSTALACAO</t>
  </si>
  <si>
    <t>CURVA PVC CURTA 90º ESGOTO 50MM - FORNECIMENTO E INSTALACAO</t>
  </si>
  <si>
    <t>CURVA PVC LONGA 90º ESGOTO 50MM - FORNECIMENTO E INSTALACAO</t>
  </si>
  <si>
    <t>CURVA PVC LONGA 45º ESGOTO 50MM - FORNECIMENTO E INSTALACAO</t>
  </si>
  <si>
    <t>CURVA PVC CURTA 90º ESGOTO 40MM - FORNECIMENTO E INSTALACAO</t>
  </si>
  <si>
    <t>JOELHO PVC 90º ESGOTO 100MM - FORNECIMENTO E INSTALACAO</t>
  </si>
  <si>
    <t>JOELHO PVC 90º ESGOTO 50MM - FORNECIMENTO E INSTALACAO</t>
  </si>
  <si>
    <t>JUNCAO PVC ESGOTO 100X100MM - FORNECIMENTO E INSTALACAO</t>
  </si>
  <si>
    <t>JUNCAO PVC ESGOTO 50X50MM - FORNECIMENTO E INSTALACAO</t>
  </si>
  <si>
    <t>JUNCAO PVC ESGOTO 100X50MM - FORNECIMENTO E INSTALACAO</t>
  </si>
  <si>
    <t xml:space="preserve">73779/001 </t>
  </si>
  <si>
    <t>TUBO DE PVC BRANCO, SEM CONEXÕES, PONTA E BOLSA SOLDÁVEL 40MM - FORNECIMENTO E INSTALAÇÃO</t>
  </si>
  <si>
    <t xml:space="preserve">74026/001 </t>
  </si>
  <si>
    <t>TUBO PVC PARA ESGOTO PREDIAL DN 100MM - FORNECIMENTO E INSTALACAO</t>
  </si>
  <si>
    <t xml:space="preserve">AGT.72286A </t>
  </si>
  <si>
    <t>CAIXA DE AREIA 60X60X65CM EM ALVENARIA COM GRELHA- EXECUÇÃO</t>
  </si>
  <si>
    <t xml:space="preserve">AGT.81665 </t>
  </si>
  <si>
    <t>CAIXA SIFONADA DIAM. 250 X 172 X 50</t>
  </si>
  <si>
    <t xml:space="preserve">AGT.81945 </t>
  </si>
  <si>
    <t>JOELHO 90 GRAUS C/BOLSA P/ANEL DIAM.40X1.1/2</t>
  </si>
  <si>
    <t xml:space="preserve">CPS.74051 </t>
  </si>
  <si>
    <t>CAIXA DE GORDURA 60X60X65CM EM ALVENARIA REVESTIDA COM ARGAMASSA 1:2:8 COM TAMPA E FUNDO EM CONCRETO, INCLUSIVE ESCAVAÇÃO, APILOAMENTO E IMPERMEABILIZAÇÃO COM APLICAÇÃO DE BETUME 2 DEMÃOS, CONFORME PROJETO HIDRO-SANITÁRIO</t>
  </si>
  <si>
    <t xml:space="preserve">CPS.74104/001A </t>
  </si>
  <si>
    <t>CAIXA DE INSPEÇÃO DE ESGOTO EM ALVENARIA DE TIJOLO MACIÇO 60X60X60CM, REVESTIDA INTERNAMENTO COM BARRA LISA (CIMENTO E AREIA, TRAÇO 1:4) E=2,0CM, COM TAMPA PRÉ-MOLDADA DE CONCRETO E FUNDO DE CONCRETO 15MPA TIPO C - ESCAVAÇÃO E CONFECÇÃO</t>
  </si>
  <si>
    <t xml:space="preserve">JOELHO PVC 45º ESGOTO 40MM - FORNECIMENTO E INSTALACAO </t>
  </si>
  <si>
    <t xml:space="preserve">VENTILAÇÃO </t>
  </si>
  <si>
    <t>TE SANITARIO 50X50MM, JUNTA SOLDADA - FORNECIMENTO E INSTALACAO</t>
  </si>
  <si>
    <t>JOELHO PVC 45º ESGOTO 50MM - FORNECIMENTO E INSTALACAO</t>
  </si>
  <si>
    <t>INCÊNDIO</t>
  </si>
  <si>
    <t>COT-PMPA</t>
  </si>
  <si>
    <t>BLOCO AUTÔNOMO PARA ILUMINAÇÃO DE EMERGÊNCIA, PARA 2 LÂMPADAS FLUORESCENTES TUBULARES DE 9W, COM BATERIA INTERNA E AUTONOMIA MÍNIMA DE 6 HORAS, REF. DYNALUX OU SIMILAR</t>
  </si>
  <si>
    <t>PICTOGRAMA (ROTA DE FUGA (SETA P/ ESQUERDA) COMP. 0,4M E LARG.0,28M</t>
  </si>
  <si>
    <t>PICTOGRAMA (EXTINTOR DE INCÊNDIO (PÓ QUÍMICO)) COMP. 0,4M E LARG.0,28M</t>
  </si>
  <si>
    <t xml:space="preserve">CPS.73775/001A </t>
  </si>
  <si>
    <t>EXTINTOR INCENDIO TP PO QUIMICO -ABC: 2-A; 20-B:C FORNECIMENTO E COLOCACAO</t>
  </si>
  <si>
    <t>COT-SN40</t>
  </si>
  <si>
    <t>LOUÇAS E METAIS</t>
  </si>
  <si>
    <t>VALVULA DESCARGA 1.1/2" COM REGISTRO, ACABAMENTO EM METAL CROMADO - FORNECIMENTO E INSTALACAO</t>
  </si>
  <si>
    <t xml:space="preserve">73947/009 </t>
  </si>
  <si>
    <t>SABONETEIRA LOUCA BRANCA 15X15CM - FORNECIMENTO E INSTALACAO</t>
  </si>
  <si>
    <t>ACE-SAB-005</t>
  </si>
  <si>
    <t>PORTA SABONETE LIQUIDO FORNECIMENTO</t>
  </si>
  <si>
    <t xml:space="preserve">73949/007 </t>
  </si>
  <si>
    <t>TORNEIRA CROMADA TUBO MOVEL PARA BANCADA 1/2" OU 3/4" PARA PIA DE COZINHA, PADRAO ALTO - FORNECIMENTO E INSTALACAO</t>
  </si>
  <si>
    <t xml:space="preserve">73949/008 </t>
  </si>
  <si>
    <t>TORNEIRA CROMADA 1/2" OU 3/4" PARA TANQUE, PADRÃO POPULAR - FORNECIMENTO E INSTALACAO</t>
  </si>
  <si>
    <t xml:space="preserve">74057/002A </t>
  </si>
  <si>
    <t>LAVATÓRIO COM COLUNA SUSPENSA, EM LOUÇA, NA COR BRANCO GELO, (REF. DECA CÓDIGO LINHA VOGUE PLUS CÓDIGO CS1 L51 OU EQUIVALENTE TÉCNICO) BRANCO GELO, COM SIFAO PLASTICO TIPO COPO 1", VALVULA EM PLASTICO BRANCO 1" E CONJUNTO PARA FIXACAO- FORNECIMENTO E INSTALACAO</t>
  </si>
  <si>
    <t>ASSENTO SANITARIO DE PLASTICO, TIPO CONVENCIONAL</t>
  </si>
  <si>
    <t xml:space="preserve">74125/002 </t>
  </si>
  <si>
    <t>ESPELHO CRISTAL ESPESSURA 4MM, COM MOLDURA EM ALUMINIO E COMPENSADO 6MM PLASTIFICADO COLADO</t>
  </si>
  <si>
    <t xml:space="preserve">74193/001B </t>
  </si>
  <si>
    <t>BACIA COM CAIXA ACOPLADA BOTÃO COM DUPLO ACIONAMENTO LINHA IZY COD. CP111/P111, REF. DECA COM SISTEMA VDR (VOLUME DE DESCARGA REDUZIDO) OU EQUIVALENTE TÉCNICO</t>
  </si>
  <si>
    <t xml:space="preserve">80660B </t>
  </si>
  <si>
    <t>TORNEIRA CROMADA C/ ALAVANCA, P/ PNE, APROVADA PELA NBR 9050, PRESSMATIC OU EQUIVALENTE - FORNECIMENTO E INSTALACAO</t>
  </si>
  <si>
    <t xml:space="preserve">COT.230172 </t>
  </si>
  <si>
    <t>BARRA APOIO EM INOX DIAM. 40MM - CONTORNO LAVATORIO</t>
  </si>
  <si>
    <t xml:space="preserve">COT.230172A </t>
  </si>
  <si>
    <t xml:space="preserve">BARRA DE APOIO DECA LINHA CONFORTO CÓD. 2310 EBR - 80 CM </t>
  </si>
  <si>
    <t xml:space="preserve">COT.73949/009A </t>
  </si>
  <si>
    <t>TORNEIRA C/ REGULAGEM DE VAZÃO POR MEIO DE REGISTRO INTEGRADO, ACABAMENTO CROMADO (REF. DECA LINHA PROFISSIONAL, DECAMATIC CÓDIGO 1170C OU SIMILAR) - FORNECIMENTO E INSTALACAO</t>
  </si>
  <si>
    <t>ACE-BAR-35</t>
  </si>
  <si>
    <t>ACE-BAR-005</t>
  </si>
  <si>
    <t xml:space="preserve">COT.80660 </t>
  </si>
  <si>
    <t>ALARME BANHEIRO DEFICIENTES SONORO E VISUAL - FORNECIMENTO E INSTALACAO</t>
  </si>
  <si>
    <t xml:space="preserve">CPS.73947/007A </t>
  </si>
  <si>
    <t xml:space="preserve">CUBA UNIVERSAL PARA EMBUTIR, OVAL (REF. DECA CÓDIGO L37 OU SIMILAR) COR: BRANCO GELO (INCLUSIVE VALVULA, ENGATE, SIFÃO) </t>
  </si>
  <si>
    <t xml:space="preserve">CPS.74129/002A </t>
  </si>
  <si>
    <t>CUBA EM AÇO MAXI RETANGULAR DE EMBUTIR (REF. TRAMONTINA OU EQUIVALENTE) EM AÇO INOX, 50X40X240 MM (INCLUSIVE ENGATE E SIFÃO) - FORNECIMENTO E INSTALACAO</t>
  </si>
  <si>
    <t>CHUVEIRO ELETRICO COMUM CORPO PLASTICO TIPO DUCHA, FORNECIMENTO E INSTALACAO</t>
  </si>
  <si>
    <t xml:space="preserve">LUMINARIAS </t>
  </si>
  <si>
    <t>LÂMPADA DE VAPOR MECURIO DE 127W. (postes)</t>
  </si>
  <si>
    <t xml:space="preserve">EIL02 </t>
  </si>
  <si>
    <t>PROJETOR DE SOBREPOR COM FOCO ORIENTÁVEL, PARA 1 LÂMPADA VAPOR METÁLICO BILATERAL 250W. CORPO EM ALUMÍNIO INJETADO, COM ALETAS DE RESFRIAMENTO. REFLETOR COM FOCO CONCENTRADO EM CHAPA DE AÇO METALIZADO. DIFUSOR EM VIDRO PLANO TEMPERADO TRANSPARENTE. POSSUI ALOJAMENTO PARA EQUIPAMENTO AUXILIAR.NECESSITA REATOR ELETROMAGNÉTICO. REF. APIAY-C 1XHIT-DE 250W.</t>
  </si>
  <si>
    <t>REATOR PARA LÂMPADA VAPOR METÁLICO USO EXTERNO 220V/400W</t>
  </si>
  <si>
    <t>LÃMPADA VAPOR METÁLICO 400W - FORNECIMENTO E INSTALAÇÃO</t>
  </si>
  <si>
    <t>ELE PAD 080</t>
  </si>
  <si>
    <t>PADRÃO CEMIG AÉREO TIPO D6, 47,1 &lt;= DEMANDA &lt;= 57 KVA, 
TRIFÁSICO</t>
  </si>
  <si>
    <t>ELE-LAMP-050</t>
  </si>
  <si>
    <t xml:space="preserve"> LÂMPADAS FLUORESCENTES TUBULARES DE 32W.</t>
  </si>
  <si>
    <t>EIL04</t>
  </si>
  <si>
    <t>ARANDELAS DE PAREDE A 1.60M DO PISO, COM LÂMPADA HALÓGENA 60W E DIFUSOR OPACO</t>
  </si>
  <si>
    <t xml:space="preserve">ELÉTRICA </t>
  </si>
  <si>
    <t>ELETRODUTO DE PVC RIGIDO ROSCAVEL 50MM (2"), FORNECIMENTO E INSTALACAO</t>
  </si>
  <si>
    <t>INTERRUPTOR PARALELO, UMA TECLA, COM PLACA, LINHA PIAL LEGRAND OU EQUIVALENTE</t>
  </si>
  <si>
    <t>ELETRODUTO DE PVC RÍGIDO ROSCÁVEL 20 MM (3/4") FORNECIMENTO E INSTALACAO</t>
  </si>
  <si>
    <t>ELETRODUTO DE PVC RÍGIDO ROSCÁVEL 15 MM (1/2") FORNECIMENTO E INSTALACAO</t>
  </si>
  <si>
    <t xml:space="preserve">74130/006C </t>
  </si>
  <si>
    <t>DISPOSITIVO SUPRESSOR DE SURTO, REF.CLAMPER VCL 275V 12,5/60KA SLIM OU EQUIVALENTE, TECNOLOGIA MOV, CLASSE I,II, MÁXIMA TENSÃO DE OPERAÇÃO 275V, ISOLAÇÃO 1,5KV, CORRENTE MÁXIMA DE DESCARGA 60KA(8/20), SUPORTABILIDADE À CORRENTE DE CURTO-CIRCUITO 5KA.</t>
  </si>
  <si>
    <t xml:space="preserve">74252/001 </t>
  </si>
  <si>
    <t>ELETRODUTO DE PVC RIGIDO ROSCAVEL 25MM (1"), FORNECIMENTO E INSTALACAO</t>
  </si>
  <si>
    <t xml:space="preserve">AGS.55865A </t>
  </si>
  <si>
    <t>ELETRODUTO DE PVC RIGIDO ROSCAVEL 32MM (1 1/4"), FORNECIMENTO E INSTALACAO</t>
  </si>
  <si>
    <t xml:space="preserve">AGS.70647 </t>
  </si>
  <si>
    <t>CAIXA DE PASSAGEM METALICA 30X30X12 CM NO PISO</t>
  </si>
  <si>
    <t xml:space="preserve">AGS.70971 </t>
  </si>
  <si>
    <t>CONDULETE, EM PVC RÍGIDO, CINZA, COM ENTRADA LISA, 3/4", TIPO LL, COM TAMPA CEGA, DA WETZEL OU EQUIVALENTE</t>
  </si>
  <si>
    <t xml:space="preserve">AGS.70981 </t>
  </si>
  <si>
    <t>CONDULETE, EM PVC RÍGIDO, CINZA, COM ENTRADA LISA, 3/4", TIPO LR, COM TAMPA CEGA, DA WETZEL OU EQUIVALENTE</t>
  </si>
  <si>
    <t xml:space="preserve">AGS.70991 </t>
  </si>
  <si>
    <t>CONDULETE, EM PVC RÍGIDO, CINZA, COM ENTRADA LISA, 3/4", TIPO T, COM TAMPA CEGA, DA WETZEL OU EQUIVALENTE</t>
  </si>
  <si>
    <t xml:space="preserve">AGS.71141 </t>
  </si>
  <si>
    <t>ELETRODUTO DE PVC RIGIDO ROSCAVEL 40MM (1 1/2"), FORNECIMENTO E INSTALACAO</t>
  </si>
  <si>
    <t xml:space="preserve">AGS.71141A </t>
  </si>
  <si>
    <t>CURVA 90° PARA ELETRODUTO DE PVC RIGIDO, 3/4"</t>
  </si>
  <si>
    <t xml:space="preserve">AGS.71142 </t>
  </si>
  <si>
    <t>CURVA 90° PARA ELETRODUTO DE PVC RIGIDO, 1"</t>
  </si>
  <si>
    <t xml:space="preserve">AGS.71144 </t>
  </si>
  <si>
    <t>CURVA 90° PARA ELETRODUTO DE PVC RIGIDO, 1 1/2"</t>
  </si>
  <si>
    <t xml:space="preserve">AGS.71146 </t>
  </si>
  <si>
    <t>CURVA 90° PARA ELETRODUTO DE PVC RIGIDO, 1/2"</t>
  </si>
  <si>
    <t xml:space="preserve">AGS.71440 </t>
  </si>
  <si>
    <t>INTERRUPTOR 1 SEÇÃO SIMPLES, COM PLACA, REF.PIAL LEGRAND LINHA SILENTOQUE CÓD. 1100 OU EQUIVALENTE</t>
  </si>
  <si>
    <t xml:space="preserve">AGS.71441 </t>
  </si>
  <si>
    <t>INTERRUPTOR 2 SEÇÕES SIMPLES, COM PLACA, REF. PIAL LEGRAND LINHA SILENTOQUE CÓD. 2100 OU EQUIVALENTE</t>
  </si>
  <si>
    <t xml:space="preserve">AGS.71442 </t>
  </si>
  <si>
    <t>INTERRUPTOR 3 SEÇÕES SIMPLES, COM PLACA, REF. PIAL LEGRAND LINHA SILENTOQUE CÓD. 3100 OU EQUIVALENTE</t>
  </si>
  <si>
    <t xml:space="preserve">AGS.71741 </t>
  </si>
  <si>
    <t>LUVA PARA ELETRODUTO DE PVC RIGIDO, 3/4"</t>
  </si>
  <si>
    <t xml:space="preserve">AGS.71742 </t>
  </si>
  <si>
    <t>LUVA PARA ELETRODUTO DE PVC RIGIDO, 1"</t>
  </si>
  <si>
    <t xml:space="preserve">AGS.71744 </t>
  </si>
  <si>
    <t>LUVA PARA ELETRODUTO DE PVC RIGIDO, 1 1/2"</t>
  </si>
  <si>
    <t xml:space="preserve">AGS.71746 </t>
  </si>
  <si>
    <t>LUVA PARA ELETRODUTO DE PVC RIGIDO, 1/2"</t>
  </si>
  <si>
    <t xml:space="preserve">AGS.74043/005 </t>
  </si>
  <si>
    <t>CAIXA METÁLICA ESMALTADA - 4"X4"X2"</t>
  </si>
  <si>
    <t xml:space="preserve">AGS.74043/006 </t>
  </si>
  <si>
    <t>CAIXA METÁLICA ESMALTADA - 4"X2"X2"</t>
  </si>
  <si>
    <t xml:space="preserve">AGT.70589B </t>
  </si>
  <si>
    <t>CABO EPR/XLPE 90 1 KV No. 25 MM2 (FASE)</t>
  </si>
  <si>
    <t xml:space="preserve">AGT.70589C </t>
  </si>
  <si>
    <t>CABO EPR/XLPE 90 1 KV No. 25 MM2 (NEUTRO)</t>
  </si>
  <si>
    <t xml:space="preserve">AGT.70589F </t>
  </si>
  <si>
    <t>CABO EPR/XLPE 90 1 KV No. 16 MM2 (TERRA)</t>
  </si>
  <si>
    <t xml:space="preserve">AGT.71241 </t>
  </si>
  <si>
    <t>ELETRODUTO PVC FLEXIVEL (MANGUEIRA) DIAM.3/4"</t>
  </si>
  <si>
    <t xml:space="preserve">AGT.72319 </t>
  </si>
  <si>
    <t>DISJUNTOR DR TRIPOLAR 40A</t>
  </si>
  <si>
    <t xml:space="preserve">COT.127D </t>
  </si>
  <si>
    <t>DUTO AÉREO PERFURADO U SRS-200-B10 100mmx50mm</t>
  </si>
  <si>
    <t>COT.CULTURA02</t>
  </si>
  <si>
    <t>DUTO AÉREO 100MM X 100M ESPESSURA DE CHAPA DE 2MM, COMPRIMENTO 12M, (PARA INSTALAÇÃO DAS TOMADAS AÉREAS SOBRE O URDIMENTO E SOB TETO DA PLATEIA)</t>
  </si>
  <si>
    <t>COT.CULTURA03</t>
  </si>
  <si>
    <t>DUTO AÉREO 250MM X 100MM (PARA DISTRIBUIÇÃO DOS CIRCUITOS DA CABINE ATÉ O FUNDO DO PALCO)</t>
  </si>
  <si>
    <t xml:space="preserve">COT.71278 </t>
  </si>
  <si>
    <t>EMENDA TIPO U P/ ELETROCALHA 100X50MM</t>
  </si>
  <si>
    <t xml:space="preserve">COT.72319C </t>
  </si>
  <si>
    <t>DISJUNTOR DR TRIPOLAR 70A</t>
  </si>
  <si>
    <t>DISJUNTOR TERMOMAGNETICO TRIPOLAR PADRAO NEMA (AMERICANO)125 A 150A 240V</t>
  </si>
  <si>
    <t xml:space="preserve">COT.72334E </t>
  </si>
  <si>
    <t>CÉLULA FOTOVOLTÁICA</t>
  </si>
  <si>
    <t xml:space="preserve">COT.ELE.001 </t>
  </si>
  <si>
    <t>REATOR INVERSOR DE EMERGÊNCIA COD. 02466 INTRAL OU EQUIVALENTE TÉCNICOU</t>
  </si>
  <si>
    <t xml:space="preserve">CPS.72339 </t>
  </si>
  <si>
    <t>TOMADA UNIVERSAL 2P+T, NO PISO, PADRÃO ABNT, C/ PLACA, 10A-250V - CONFORME NORMA NBR 14136</t>
  </si>
  <si>
    <t>TOMADAS 2P+T H=130CM COM PLACA - CONFORME NBR 14136</t>
  </si>
  <si>
    <t xml:space="preserve">CPS.72339B </t>
  </si>
  <si>
    <t>TOMADAS 2P+T COM PLACA PARA AR CONDICIONADO, 150W - CONFORME NBR 14136</t>
  </si>
  <si>
    <t xml:space="preserve">CPS.72339C </t>
  </si>
  <si>
    <t>TOMADAS 2P+T H=30CM COM PLACA - CONFORME NBR 14136</t>
  </si>
  <si>
    <t>CABO DE COBRE ISOLADO PVC RESISTENTE A CHAMA 450/750 V 2,5 MM2 FORNECIMENTO E INSTALACAO (FASE - PRETO)</t>
  </si>
  <si>
    <t>CABO DE COBRE ISOLADO PVC RESISTENTE A CHAMA 450/750 V 2,5 MM2 FORNECIMENTO E INSTALACAO (NEUTRO - AZUL)</t>
  </si>
  <si>
    <t>CABO DE COBRE ISOLADO PVC RESISTENTE A CHAMA 450/750 V 2,5 MM2 FORNECIMENTO E INSTALACAO (RETORNO - BRANCO)</t>
  </si>
  <si>
    <t>CABO DE COBRE ISOLADO PVC RESISTENTE A CHAMA 450/750 V 2,5 MM2 FORNECIMENTO E INSTALACAO (TERRA - VERDE)</t>
  </si>
  <si>
    <t xml:space="preserve">CPS.73860/008A </t>
  </si>
  <si>
    <t xml:space="preserve">CPS.73860/008B </t>
  </si>
  <si>
    <t xml:space="preserve">CPS.73860/008C </t>
  </si>
  <si>
    <t xml:space="preserve">CPS.73860/008D </t>
  </si>
  <si>
    <t xml:space="preserve">CPS.73860/009A </t>
  </si>
  <si>
    <t>CABO DE COBRE ISOLADO PVC RESISTENTE A CHAMA 450/750 V 4 MM2 FORNECIMENTO E INSTALACAO (FASE - PRETO)</t>
  </si>
  <si>
    <t xml:space="preserve">CPS.73860/009B </t>
  </si>
  <si>
    <t>CABO DE COBRE ISOLADO PVC RESISTENTE A CHAMA 450/750 V 4 MM2 FORNECIMENTO E INSTALACAO (NEUTRO - AZUL)</t>
  </si>
  <si>
    <t xml:space="preserve">CPS.73860/009C </t>
  </si>
  <si>
    <t>CABO DE COBRE ISOLADO PVC RESISTENTE A CHAMA 450/750 V 4 MM2 FORNECIMENTO E INSTALACAO (RETORNO - BRANCO)</t>
  </si>
  <si>
    <t xml:space="preserve">CPS.73860/009D </t>
  </si>
  <si>
    <t>CABO DE COBRE ISOLADO PVC RESISTENTE A CHAMA 450/750 V 4 MM2 FORNECIMENTO E INSTALACAO (TERRA - VERDE)</t>
  </si>
  <si>
    <t xml:space="preserve">CPS.73860/011A </t>
  </si>
  <si>
    <t>CABO DE COBRE ISOLADO PVC RESISTENTE A CHAMA 450/750 V 10 MM2 FORNECIMENTO E INSTALACAO (FASE - PRETO)</t>
  </si>
  <si>
    <t xml:space="preserve">CPS.73860/011B </t>
  </si>
  <si>
    <t>CABO DE COBRE ISOLADO PVC RESISTENTE A CHAMA 450/750 V 10 MM2 FORNECIMENTO E INSTALACAO (NEUTRO - AZUL)</t>
  </si>
  <si>
    <t xml:space="preserve">CPS.73860/011D </t>
  </si>
  <si>
    <t>CABO DE COBRE ISOLADO PVC RESISTENTE A CHAMA 450/750 V 10 MM2 FORNECIMENTO E INSTALACAO (VERDE - TERRA)</t>
  </si>
  <si>
    <t xml:space="preserve">CPS.73860/012A </t>
  </si>
  <si>
    <t>CABO DE COBRE ISOLADO PVC RESISTENTE A CHAMA 450/750 V 16 MM2 FORNECIMENTO E INSTALACAO (PRETO - FASE)</t>
  </si>
  <si>
    <t xml:space="preserve">CPS.73860/012B </t>
  </si>
  <si>
    <t>CABO DE COBRE ISOLADO PVC RESISTENTE A CHAMA 450/750 V 16 MM2 FORNECIMENTO E INSTALACAO (AZUL - NEUTRO)</t>
  </si>
  <si>
    <t xml:space="preserve">CPS.73860/012D </t>
  </si>
  <si>
    <t>CABO DE COBRE ISOLADO PVC RESISTENTE A CHAMA 450/750 V 16 MM2 FORNECIMENTO E INSTALACAO (VERDE - TERRA)</t>
  </si>
  <si>
    <t xml:space="preserve">CPS.74130/001 </t>
  </si>
  <si>
    <t>DISJUNTOR MONOPOLAR, 16A</t>
  </si>
  <si>
    <t xml:space="preserve">CPS.74130/001B </t>
  </si>
  <si>
    <t>DISJUNTOR A SECO 1P20A</t>
  </si>
  <si>
    <t xml:space="preserve">CPS.74130/001D </t>
  </si>
  <si>
    <t>DISJUNTOR TERMOMAGNÉTICO MONOPOLAR 10A - DIN</t>
  </si>
  <si>
    <t xml:space="preserve">CPS.74130/004 </t>
  </si>
  <si>
    <t>DISJUNTOR A SECO TRIPOLAR 40A - DIN</t>
  </si>
  <si>
    <t xml:space="preserve">CPS.74131/005A </t>
  </si>
  <si>
    <t>QUADRO DE DISTRIBUIÇÃO COM BARRAMENTO + GERAL, PARA DISJUNTORES DIN, PADRÃO EMBUTIR,CAPACIDADE DO BARRAMENTO 100A, PARA 24 DISJUNTORES, COMPLETO, REF. CEMAR LEGRANDQDETG-U 904022</t>
  </si>
  <si>
    <t xml:space="preserve">CPS.74131/007 </t>
  </si>
  <si>
    <t>QUADRO DE DISTRIBUIÇÃO COM BARRAMENTO + GERAL, PARA DISJUNTORES DIN, PADRÃO EMBUTIR, CAPACIDADE DO BARRAMENTO 100A, PARA 36 DISJUNTORES, COMPLETO, REF. CEMAR LEGRANDDIN/UL - QDETG-U 904026</t>
  </si>
  <si>
    <t xml:space="preserve">CPS.74248/001 </t>
  </si>
  <si>
    <t>CAIXA DE PASSAGEM EM ALVENARIA COM TAMPA METÁLICA 60X40X40 CM</t>
  </si>
  <si>
    <t>ELÉTRICA - PE - SPDA - PEC</t>
  </si>
  <si>
    <t>CABO DE COBRE NU 35 MM2</t>
  </si>
  <si>
    <t>CABO DE COBRE NU 50 MM2</t>
  </si>
  <si>
    <t>CABO DE COBRE ISOLAMENTO TERMOPLATICO 0,6/KV 35MM² ANTIC-CHAMA - FORN E INST.</t>
  </si>
  <si>
    <t>CABO DE COBRE ISOLAMENTO TERMOPLATICO 0,6/KV 70MM² ANTIC-CHAMA - FORN E INST.</t>
  </si>
  <si>
    <t xml:space="preserve">AGS.4375 </t>
  </si>
  <si>
    <t>BUCHA DE NYLON Nº6 C/ PARAFUSO</t>
  </si>
  <si>
    <t xml:space="preserve">COT.1577 </t>
  </si>
  <si>
    <t>PRESILHA EM LATÃO ESTANHADO PARA FIXAÇÃO DIRETA DE CABOS, LARGURA 15MM, FURAÇÃO 5MM, PARA CABO #35,0MM2. REFERÊNCIA TERMOTÉCNICA TEL-744</t>
  </si>
  <si>
    <t xml:space="preserve">COT.1577A </t>
  </si>
  <si>
    <t>CLIPS GALVANIZADO PARA CONEXÃO DE BARRAS DE 8 A 10MM DE DIÂMETRO REF. : TEL - 5238 TERMOTÉCNICA OU EQUIVALENTE</t>
  </si>
  <si>
    <t xml:space="preserve">COT.1578 </t>
  </si>
  <si>
    <t>PARAFUSO FENDA EM AÇO INOX AUTOATARRACHANTE 4,2" X 32MM, REF. TERMOTÉCNICA TEL-5333</t>
  </si>
  <si>
    <t xml:space="preserve">COT.72315 </t>
  </si>
  <si>
    <t>SELANTE DE POLIURETANO, SIKAFLEX, REF. TERMOTÉCNICA TEL-5905 OU EQUIVALENTE</t>
  </si>
  <si>
    <t xml:space="preserve">COT.73918/003 </t>
  </si>
  <si>
    <t>CAIXA DE EQUALIZACAO DE POTENCIAIS METALICA 200MMX200MMX90MM, EM AÇO, BARRAMENTO 6MM DE ESPESSURA, 8 TERMINAIS DE 16MM2 + 1 DE 50MM2, REF. TERMOTÉCNICA TEL-901</t>
  </si>
  <si>
    <t>ELÉTRICA - PE - SDA0 - ADM (SISTEMA DE DETECÇÃO ALARME E INCÊNDIO)</t>
  </si>
  <si>
    <t>BOX RETO 1/2" EM FERRO GALVANIZADO OU ALUMINIO PARA ADAPTAR ENTRADA DE ELETRODUTO METÁLICO FLEXIVEL EM CAIXA E QUADROS</t>
  </si>
  <si>
    <t xml:space="preserve">73861/020 </t>
  </si>
  <si>
    <t>CONDULETE, EM ALUMINIO, COM ENTRADA LISA, 3/4", TIPO T, COM TAMPA CEGA, DA WETZEL OU SIMILAR</t>
  </si>
  <si>
    <t xml:space="preserve">AGS.71001 </t>
  </si>
  <si>
    <t>CONDULETE, EM PVC RÍGIDO, CINZA, COM ENTRADA LISA, 3/4", TIPO X, COM TAMPA CEGA, DA WETZEL OU EQUIVALENTE</t>
  </si>
  <si>
    <t xml:space="preserve">AGS.71861 </t>
  </si>
  <si>
    <t>PARAFUSO E BUCHA S-6</t>
  </si>
  <si>
    <t xml:space="preserve">AGS.71862 </t>
  </si>
  <si>
    <t>PARAFUSO E BUCHA S-8</t>
  </si>
  <si>
    <t xml:space="preserve">AGS.71982 </t>
  </si>
  <si>
    <t>PORCA SEXTAVADA 3/8"</t>
  </si>
  <si>
    <t xml:space="preserve">AGT.70251 </t>
  </si>
  <si>
    <t xml:space="preserve">ARRUELA LISA 3/8" </t>
  </si>
  <si>
    <t xml:space="preserve">AGT.72660 </t>
  </si>
  <si>
    <t>VERGALHAO ROSCA TOTAL D=1/4"</t>
  </si>
  <si>
    <t xml:space="preserve">COT.71277 </t>
  </si>
  <si>
    <t>EMENDA DE VERGALHÃO ROSCADA 1/4"</t>
  </si>
  <si>
    <t xml:space="preserve">COT.72334C </t>
  </si>
  <si>
    <t xml:space="preserve">DETECTOR ÓTICO DE FUMAÇA ENDEREÇÁVEL C/ PLACA DE FIXAÇÃO FORRO, REF. Cód.: 122305 ENGESUL OU EQUIVALENTE </t>
  </si>
  <si>
    <t xml:space="preserve">COT.72334D </t>
  </si>
  <si>
    <t>DETECTOR DE VAZAMENTO DE GÁS TIPO BLINDADO REF.: COD.: 122.015 ENGESUL OU EQUIVALENTE H=200MM DO PISO</t>
  </si>
  <si>
    <t xml:space="preserve">COT.72340 </t>
  </si>
  <si>
    <t xml:space="preserve">AVISADOR SONORO ENDEREÇÁVEL, INSTALADO NA PAREDE, REF. : Cód: 103.041 ENGESUL OU EQUIVALENTE </t>
  </si>
  <si>
    <t xml:space="preserve">COT.73855/001 </t>
  </si>
  <si>
    <t>CHUMBADOR CBC PARAFUSO 1/4" - CISER - FORNECIMENTO E INSTALACAO</t>
  </si>
  <si>
    <t xml:space="preserve">COT.73855/002 </t>
  </si>
  <si>
    <t>CHUMBADOR CBC PARAFUSO 3/8" X 2 1/2" REF. 98212 CISER OU EQUIVALENTE - FORNECIMENTO E INSTALACAO</t>
  </si>
  <si>
    <t xml:space="preserve">COT.73860 </t>
  </si>
  <si>
    <t xml:space="preserve">CABO PP 4 VIAS BLINDADO PVC 70°C 2X1,5MM2 - CONFORME NBR 6880 e 13249 </t>
  </si>
  <si>
    <t xml:space="preserve">COT.74043 </t>
  </si>
  <si>
    <t>SUPORTE PARA ELETRODUTO TIPO ECONÔMICO DIAM. 3/4". REF. ML-1455, MEGALIDER OU EQUIVALENTE</t>
  </si>
  <si>
    <t xml:space="preserve">COT.74043/007 </t>
  </si>
  <si>
    <t>JUNÇÃO ANGULAR DUPLA ALTA GALVANIZADA</t>
  </si>
  <si>
    <t xml:space="preserve">COT.74044 </t>
  </si>
  <si>
    <t>SUSPENSÃO P/ TIRANTE REF. MEGA APOIO MG 2535 OU EQUIVALENTE</t>
  </si>
  <si>
    <t xml:space="preserve">COT.74045 </t>
  </si>
  <si>
    <t>TIRANTE (1/4") ROSQUEADO 3000MM, REF. MEGA APOIO MG2513-2 OU EQUIVALENTE</t>
  </si>
  <si>
    <t xml:space="preserve">COT.80661 </t>
  </si>
  <si>
    <t>CENTRAL DE ALARME DE INCÊNDIO ENDEREÇÁVEL C/ LCD 02 LAÇOS 4-TOQUES</t>
  </si>
  <si>
    <t xml:space="preserve">CPS.74043/005 </t>
  </si>
  <si>
    <t>BRAÇADEIRA GALVANIZADA TIPO D 3/4" COM PARAFUSO E BUCHA S-8</t>
  </si>
  <si>
    <t>ELÉTRICA - PE - REDE - PEC</t>
  </si>
  <si>
    <t xml:space="preserve">73768/006 </t>
  </si>
  <si>
    <t>CABO TELEFONICO CI-50 50PARES (USO INTERNO) - FORNECIMENTO E INSTALACAO</t>
  </si>
  <si>
    <t xml:space="preserve">AGT.71277 </t>
  </si>
  <si>
    <t>EMENDA INTERNA P/ELETROCALHA (50 X 50 mm)</t>
  </si>
  <si>
    <t xml:space="preserve">COT.130D </t>
  </si>
  <si>
    <t>DUTO AÉREO PERFURADO U SRS-200-B05 50mmx50mm</t>
  </si>
  <si>
    <t xml:space="preserve">COT.1578A </t>
  </si>
  <si>
    <t xml:space="preserve">PARAFUSO SEXTAVADO EM AÇO INOX ROSCA SOBERBA M5X12MM </t>
  </si>
  <si>
    <t xml:space="preserve">COT.70626 </t>
  </si>
  <si>
    <t>CABO UTP-8 VIAS, CAT.6E</t>
  </si>
  <si>
    <t xml:space="preserve">COT.71796 </t>
  </si>
  <si>
    <t>GUIA PARA CABOS, INSTALAÇÃO EM RACK DE REDE</t>
  </si>
  <si>
    <t xml:space="preserve">COT.71886 </t>
  </si>
  <si>
    <t>PATCH CORD UTP-8 P, CAT 6E, FLEXIVEL 1.5 M</t>
  </si>
  <si>
    <t xml:space="preserve">COT.71887 </t>
  </si>
  <si>
    <t>PATCH CORD UTP-8 P, CAT 6E, FLEXIVEL 2.5 M</t>
  </si>
  <si>
    <t xml:space="preserve">COT.72556A </t>
  </si>
  <si>
    <t>TOMADA RJ45 NA PAREDE (2P) EMBUTIR</t>
  </si>
  <si>
    <t xml:space="preserve">COT.72556B </t>
  </si>
  <si>
    <t>TOMADA RJ45 NO PISO (2P) EMBUTIR</t>
  </si>
  <si>
    <t xml:space="preserve">COT.73688A </t>
  </si>
  <si>
    <t>RACK REDE DE PISO, GABINETE FECHADO, PADRÃO 19", 16 USX570MM GARRA</t>
  </si>
  <si>
    <t xml:space="preserve">COT.73688B </t>
  </si>
  <si>
    <t>SWITCH 24 PORTAS 1375014-1</t>
  </si>
  <si>
    <t xml:space="preserve">COT.73688C </t>
  </si>
  <si>
    <t>VOICE PANEL 50 PORTAS</t>
  </si>
  <si>
    <t xml:space="preserve">COT.73688D </t>
  </si>
  <si>
    <t>RÉGUA COM 6 TOMADAS PARA RACK DE REDE</t>
  </si>
  <si>
    <t xml:space="preserve">COT.73688G </t>
  </si>
  <si>
    <t>PATCH PANEL 24 PORTAS PARA COMUNICAÇÃO EM REDE, REF. D-LINK OU EQUIVALENTE</t>
  </si>
  <si>
    <t xml:space="preserve">COT.73688K </t>
  </si>
  <si>
    <t>ESTABILIZADOR 0,50 Kv</t>
  </si>
  <si>
    <t xml:space="preserve">COT.73688L </t>
  </si>
  <si>
    <t>BANDEJA FIXA 500MM VENTILAÇÃO GARRA</t>
  </si>
  <si>
    <t xml:space="preserve">COT.73689 </t>
  </si>
  <si>
    <t>MODEM/ROTEADOR ADSL2 GKM 1210Q OU EQUIVALENTE</t>
  </si>
  <si>
    <t xml:space="preserve">COT.73690 </t>
  </si>
  <si>
    <t>CONECTOR (PLUG) RJ45</t>
  </si>
  <si>
    <t xml:space="preserve">CPS.72337 </t>
  </si>
  <si>
    <t>TOMADA PARA TELEFONE INTERNO DE 4 POLOS PADRAO TELEBRÁS - FORNECIMENTO E INSTALACAO</t>
  </si>
  <si>
    <t>73840/001</t>
  </si>
  <si>
    <t>ASSENTAMENTO TUBO PVC COM JUNTA ELASTICA DN 100MM</t>
  </si>
  <si>
    <t>74130/005</t>
  </si>
  <si>
    <t>DISJUNTOR TRIPOLAR 100A MOD DIN</t>
  </si>
  <si>
    <t>74130/004</t>
  </si>
  <si>
    <t>DISJUNTOR TRIPOLAR 50A MOD DIN</t>
  </si>
  <si>
    <t>INTERRUPTOR 01 TECLA PARALELO</t>
  </si>
  <si>
    <t>INTERRUPTOR 02 TECLA PARALELO</t>
  </si>
  <si>
    <t>INTERRUPTOR 03 TECLA PARALELO</t>
  </si>
  <si>
    <t>TOMADA DUPLA 2P+T 110 W</t>
  </si>
  <si>
    <t>COMUNICAÇÃO VISUAL</t>
  </si>
  <si>
    <t xml:space="preserve">CMV 3000.01 </t>
  </si>
  <si>
    <t>BLOCO 1 - TEATRO - TIPO C DIM.70 X 13,2 CM</t>
  </si>
  <si>
    <t xml:space="preserve">PÇ </t>
  </si>
  <si>
    <t xml:space="preserve">CMV 3000.02 </t>
  </si>
  <si>
    <t>BLOCO 1 - DEPÓSITO - TIPO B DIM.45 X 8,5 CM</t>
  </si>
  <si>
    <t xml:space="preserve">CMV 3000.03 </t>
  </si>
  <si>
    <t>BLOCO 1 - CABINE DE PROJEÇÃO - TIPO B DIM.45 X 8,5 CM</t>
  </si>
  <si>
    <t xml:space="preserve">CMV 3000.04 </t>
  </si>
  <si>
    <t>BLOCO 1 - ADM ALMOXARIFADO - TIPO B DIM.45 X 8,5 CM</t>
  </si>
  <si>
    <t xml:space="preserve">CMV 3000.05 </t>
  </si>
  <si>
    <t>BLOCO 1 - TELECENTRO - TIPO B DIM.45 X 8,5 CM</t>
  </si>
  <si>
    <t xml:space="preserve">CMV 3000.06 </t>
  </si>
  <si>
    <t>BLOCO 1 - SANIT. MASCULINO - TIPO B DIM.45 X 8,5 CM</t>
  </si>
  <si>
    <t xml:space="preserve">CMV 3000.07 </t>
  </si>
  <si>
    <t>BLOCO 1 - SANIT. FEMININO - TIPO B DIM.45 X 8,5 CM</t>
  </si>
  <si>
    <t xml:space="preserve">CMV 3000.08 </t>
  </si>
  <si>
    <t>BLOCO 1 - SANITÁRIO P.N.E. - TIPO B DIM.45 X 8,5 CM</t>
  </si>
  <si>
    <t xml:space="preserve">CMV 3000.09 </t>
  </si>
  <si>
    <t>BLOCO 1 - BIBLIOTECA - TIPO B DIM.45 X 8,5 CM</t>
  </si>
  <si>
    <t xml:space="preserve">CMV 3000.10 </t>
  </si>
  <si>
    <t>BLOCO 1 - SANIT. MASCULINO - TIPO A DIM.20 X 13,2 CM</t>
  </si>
  <si>
    <t xml:space="preserve">CMV 3000.11 </t>
  </si>
  <si>
    <t>BLOCO 1 - SANIT. FEMININO - TIPO A DIM.20 X 13,2 CM</t>
  </si>
  <si>
    <t xml:space="preserve">CMV 3000.12 </t>
  </si>
  <si>
    <t>BLOCO 2 - SALA MULTIUSO 1 - TIPO B DIM.45 X 8,5 CM</t>
  </si>
  <si>
    <t xml:space="preserve">CMV 3000.13 </t>
  </si>
  <si>
    <t>BLOCO 2 - COPA - TIPO B DIM.45 X 8,5 CM</t>
  </si>
  <si>
    <t xml:space="preserve">CMV 3000.14 </t>
  </si>
  <si>
    <t>BLOCO 2 - SANITÁRIO P.N.E. - TIPO B DIM.45 X 8,5 CM</t>
  </si>
  <si>
    <t xml:space="preserve">CMV 3000.15 </t>
  </si>
  <si>
    <t>BLOCO 2 - CRAS COOREDENAÇÃO - TIPO B DIM.45 X 8,5 CM</t>
  </si>
  <si>
    <t xml:space="preserve">CMV 3000.16 </t>
  </si>
  <si>
    <t>BLOCO 2 - CRAS ATENDIMENTO - TIPO B DIM.45 X 8,5 CM</t>
  </si>
  <si>
    <t xml:space="preserve">CMV 3000.17 </t>
  </si>
  <si>
    <t>BLOCO 2 - SALA MULTIUSO 2 - TIPO B DIM.45 X 8,5 CM</t>
  </si>
  <si>
    <t xml:space="preserve">CMV 3000.18 </t>
  </si>
  <si>
    <t>BLOCO 2 - COPA - TIPO A DIM.20 X 13,2 CM</t>
  </si>
  <si>
    <t xml:space="preserve">CMV 3000.19 </t>
  </si>
  <si>
    <t xml:space="preserve">CMV 3000.20 </t>
  </si>
  <si>
    <t>PRAÇA 3000 - QUADRA COBERTA - TIPO E DIM.70 X 13,2 CM</t>
  </si>
  <si>
    <t xml:space="preserve">CMV 3000.21 </t>
  </si>
  <si>
    <t>PRAÇA 3000 - BICICLETÁRIO 1 - TIPO E DIM.70 X 13,2 CM</t>
  </si>
  <si>
    <t xml:space="preserve">CMV 3000.22 </t>
  </si>
  <si>
    <t>PRAÇA 3000 - BICICLETÁRIO 2 - TIPO E DIM.70 X 13,2 CM</t>
  </si>
  <si>
    <t xml:space="preserve">CMV 3000.23 </t>
  </si>
  <si>
    <t>PRAÇA 3000 - PISTA DE SKATE - TIPO E DIM.70 X 13,2 CM</t>
  </si>
  <si>
    <t xml:space="preserve">CMV 3000.24 </t>
  </si>
  <si>
    <t>PRAÇA 3000 - BICICLETÁRIO 3 - TIPO E DIM.70 X 13,2 CM</t>
  </si>
  <si>
    <t xml:space="preserve">CMV 3000.25 </t>
  </si>
  <si>
    <t>PRAÇA 3000 - PLAYGROUND - TIPO E DIM.70 X 13,2 CM</t>
  </si>
  <si>
    <t xml:space="preserve">CMV 3000.26 </t>
  </si>
  <si>
    <t>PRAÇA 3000 - EQUIP. GINÁSTICA - TIPO E DIM.70 X 13,2 CM</t>
  </si>
  <si>
    <t xml:space="preserve">CMV 3000.27 </t>
  </si>
  <si>
    <t>PRAÇA 3000 - MESA DE JOGOS - TIPO E DIM.70 X 13,2 CM</t>
  </si>
  <si>
    <t xml:space="preserve">CMV 3000.28 </t>
  </si>
  <si>
    <t>QUADRA COBERTA - QUADRA COBERTA - TIPO B DIM.45 X 8,5 CM</t>
  </si>
  <si>
    <t>CMV 3000.29</t>
  </si>
  <si>
    <t>PLACAS DE SINALIZAÇÃO DE SEGURANÇA EM PLACAS COM LETRAS FOSFORESCENTE, 2 “NÃO FUME” E 2 “SAÍDA “</t>
  </si>
  <si>
    <t>CAB-TOM-010</t>
  </si>
  <si>
    <t>SERVIÇOS COMPLEMENTARES</t>
  </si>
  <si>
    <t xml:space="preserve">270802A </t>
  </si>
  <si>
    <t>BRINQUEDO INFANTIL MULTIUSO DE EUCALIPTO ROLIÇO TRATADO EM AUTOCLAVE PINTADOS COM ESMALTE SINTÉTICO NAS CORES VERDES, AZUL, VERMELHO E AMARELO.(CONFORME ESPECIFICAÇÃO)</t>
  </si>
  <si>
    <t xml:space="preserve">CJ </t>
  </si>
  <si>
    <t xml:space="preserve">270802D </t>
  </si>
  <si>
    <t>ESPALDAR EM TUBO GALVANIZADO DIAM 2", INCLUSIVE PINTURA EM ESMALTE SINTÉTICO ACETINADO COR VERDE FOLHA (REF. 0114 SUVINIL OU EQUIVALENTE) E TORA DE EUCALIPTO AUTOCLAVADO DIAM. 13CM INCLUSIVE APLICAÇÃO DE OSMOCOLOR, CONFORME PROJETO</t>
  </si>
  <si>
    <t xml:space="preserve">270802E </t>
  </si>
  <si>
    <t>CONJUNTO PRANCHA ABDOMINAL MODELOS A, B, C E D; EM ALVENARIA COM ACABAMENTO EM CHAPISCO E CAIAÇÃO E CIMENTO QUEIMADO COR NATURAL E=5CM (CONFORME PROJETO)</t>
  </si>
  <si>
    <t xml:space="preserve">73967/002 </t>
  </si>
  <si>
    <t>PLANTIO DE ARVORE COM ALTURA MAIOR DO QUE 2,00 METROS (PALMEIRAS)</t>
  </si>
  <si>
    <t xml:space="preserve">74236/001 </t>
  </si>
  <si>
    <t>GRAMA BATATAIS EM PLACAS (50X50)CM</t>
  </si>
  <si>
    <t>DEM.ALA.005</t>
  </si>
  <si>
    <t>REMOÇÃO DE ALAMBRADO</t>
  </si>
  <si>
    <t xml:space="preserve">74244/001 </t>
  </si>
  <si>
    <t>ALAMBRADO PARA QUADRA POLIESPORTIVA, ESTRUTURADA EM TUBO DE AÇO GALV. C/COSTURA DIN 2440, DIÂMETRO 2", E TELA EM ARAME GALVANIZADO 14 BWG, MALHA QUADRADA COM ABERTURA DE 2".</t>
  </si>
  <si>
    <t xml:space="preserve">AGS.270802 </t>
  </si>
  <si>
    <t>MASTRO P/BANDEIRA FERRO GALVANIZADO 3UN</t>
  </si>
  <si>
    <t xml:space="preserve">AGS.271303 </t>
  </si>
  <si>
    <t>BANCO DE CONCRETO POLIDO (1,50X0,45)M</t>
  </si>
  <si>
    <t xml:space="preserve">COT.270802 </t>
  </si>
  <si>
    <t>BARRA ASSIMÉTRICA EM TUBO GALVANIZADO DIAM 2", INCLUSIVE PINTURA EM ESMALTE SINTÉTICO ACETINADO COR VERDE FOLHA (REF. 0114 SUVINIL OU EQUIVALENTE) E TORA DE EUCALIPTO AUTOCLAVADO DIAM. 13CM, INCLUSIVE APLICAÇÃO DE OSMOCOLOR, CONFORME PROJETO</t>
  </si>
  <si>
    <t xml:space="preserve">COT.270802A </t>
  </si>
  <si>
    <t>BARRA PARALELA EM TUBO GALVANIZADO DIAM 2", INCLUSIVE PINTURA EM ESMALTE SINTÉTICO ACETINADO COR VERDE FOLHA (REF. 0114 SUVINIL OU EQUIVALENTE) E TORA DE EUCALIPTO AUTOCLAVADO DIAM. 13CM INCLUSIVE APLICAÇÃO DE OSMOCOLOR, CONFORME PROJETO</t>
  </si>
  <si>
    <t xml:space="preserve">COT.74126/001A </t>
  </si>
  <si>
    <t>GRANITO POLIDO PARA BANCADA E=2,5 CM, VERDE UBATUBA (BANCADA PIA 3,30X0,60)M - FORNECIMENTO E INSTALACAO</t>
  </si>
  <si>
    <t xml:space="preserve">COT.74126/001C </t>
  </si>
  <si>
    <t>GRANITO POLIDO PARA BANCADA E=2,5 CM, VERDE UBATUBA (BALCAO EM GRANITO 2,10X0,60)M - FORNECIMENTO E INSTALACAO</t>
  </si>
  <si>
    <t xml:space="preserve">COT.74126/001E </t>
  </si>
  <si>
    <t>GRANITO POLIDO PARA BANCADA E=2,5 CM, VERDE UBATUBA (BANCADA LAVATÓRIO 1,90X0,50)M - FORNECIMENTO E INSTALACAO</t>
  </si>
  <si>
    <t>COT.74126/001F</t>
  </si>
  <si>
    <t>GRANITO POLIDO PARA BANCADA E=2,5 CM, VERDE UBATUBA (BANCADA LAVATÓRIO 0,8 X 0,5)M - FORNECIMENTO E INSTALACAO</t>
  </si>
  <si>
    <t>TELA DE ARAME GALVANIZADO, DIÂMETRO DO FIO = 2,77 MM (12 BWG), ESPAÇAMENTO DA MALHA 5 X 5 CM, H=2M PARA ALAMBRADO</t>
  </si>
  <si>
    <t xml:space="preserve">COT.SCO.002 </t>
  </si>
  <si>
    <t>REDE DE PROTEÇÃO QUADRA COBERTA EM NYLON 100% POLIAMIDA (NYLON) MALHA 10X10 EM 02MM NA COR BRANCA FIXADA EM ESTRUTURA METÁLICA</t>
  </si>
  <si>
    <t xml:space="preserve">COT.SCO.010 </t>
  </si>
  <si>
    <t>LIXEIRA DE COLETA SELETIVA COM 4 (QUATRO) CESTOS DE 50L EM POLIETILENO DE ALTA DENSIDADE COM PROTEÇÃO UV E ESTRUTURA METÁLICA EM AÇO CARBONO COM PINTURA EPOXI.</t>
  </si>
  <si>
    <t xml:space="preserve">CPS.180318 </t>
  </si>
  <si>
    <t xml:space="preserve">SUPORTE PARA BICICLETA TIPO “U” INVERTIDO, DE FERRO GALVANIZADO DIAM.: 2” COM LAGURA DE 60CM E ALTURA DE 90CM, PINTADO NA COR VERMELHO. </t>
  </si>
  <si>
    <t xml:space="preserve">MES-CON-005 </t>
  </si>
  <si>
    <t>CONJUNTO DE MESA COM 4 BANCOS EM CONCRETO POLIDO (CONFORME PROJETO)</t>
  </si>
  <si>
    <t xml:space="preserve">CPS.73967/003A </t>
  </si>
  <si>
    <t>PLANTIO DE ARVORE ISOLADA ATÉ 2,00M DE ALT, DE QUALQUER ESPECIE, EM LOGRADOURO PUBLICO, INCLUSIVE TRANSPORTE DE TERRA PRETA. INCLUSIVE FORNECIMENTO DA ARVORE</t>
  </si>
  <si>
    <t xml:space="preserve">CPS.73967/003B </t>
  </si>
  <si>
    <t>PLANTIO DE ARBUSTOS, EM LOGRADOURO PUBLICO, INCLUSIVE TRANSPORTE DE TERRA PRETA. INCLUSIVE FORNECIMENTO DA ARVORE</t>
  </si>
  <si>
    <t xml:space="preserve">CPS.74111/001 </t>
  </si>
  <si>
    <t>PEITORIL DE GRANITO CINZA ANDORINHA, ESPESSURA 2CM, ASSENTADA COM ARGAMASSA COLANTE</t>
  </si>
  <si>
    <t xml:space="preserve">PINTURA </t>
  </si>
  <si>
    <t>DEMARCACAO COM TINTA ACRILICA PARA PISOS DE FAIXAS EM QUADRA POLIESPORTIVA</t>
  </si>
  <si>
    <t xml:space="preserve">73750/001 </t>
  </si>
  <si>
    <t>PINTURA LATEX PVA AMBIENTES INTERNOS, DUAS DEMAOS COR BRANCO NEVE (FORRO)</t>
  </si>
  <si>
    <t>PINTURA LATEX ACRILICA AMBIENTES INTERNOS/EXTERNOS, DUAS DEMAOS NA COR BRANCO NEVE (PAREDE)</t>
  </si>
  <si>
    <t>EMASSAMENTO COM MASSA LATEX PVA PARA AMBIENTES INTERNOS, DUAS DEMAOS</t>
  </si>
  <si>
    <t xml:space="preserve">74134/002 </t>
  </si>
  <si>
    <t>EMASSAMENTO COM MASSA ACRILICA PARA AMBIENTES INTERNOS/EXTERNOS, DUAS DEMAOS</t>
  </si>
  <si>
    <t xml:space="preserve">74145/001 </t>
  </si>
  <si>
    <t>PINTURA EM ESMALTE SINTETICO EM PECAS METALICAS UTILIZANDO REVOLVER/COMPRESSOR, DUAS DEMAOS, INCLUSO UMA DEMAO FUNDO OXIDO DE FERRO/ZARCAO (ALAMBRADO)</t>
  </si>
  <si>
    <t xml:space="preserve">74245/001 </t>
  </si>
  <si>
    <t>PINTURA COM TINTA ACRILICA PARA PISOS EM QUADRAS POLIESPORTIVAS</t>
  </si>
  <si>
    <t>PINTURA À BASE DE BORRACHA CLORADA , COR CINZA MÉDIO , EM 02 (DUAS) DEMÃOS, SOBRE PISO EM CONCRETO RÚSTICO</t>
  </si>
  <si>
    <t xml:space="preserve">CPS.73746/001 </t>
  </si>
  <si>
    <t>PINTURA COM TINTA  ACRILICA PARA AMBIENTES (FACHADA)</t>
  </si>
  <si>
    <t xml:space="preserve">CPS.73954/002A </t>
  </si>
  <si>
    <t>PINTURA LATEX ACRILICA AMBIENTES INTERNOS/EXTERNOS, DUAS DEMAOS COR PRETO FOSCO (FORRO)</t>
  </si>
  <si>
    <t xml:space="preserve">CPS.73954/002B </t>
  </si>
  <si>
    <t>PINTURA LATEX ACRILICA AMBIENTES INTERNOS/EXTERNOS, DUAS DEMAOS NA COR PRETO FOSCO (PAREDE)</t>
  </si>
  <si>
    <t>LIMPEZA FINAL DA OBRA</t>
  </si>
  <si>
    <t xml:space="preserve">ADMINISTRAÇÃO </t>
  </si>
  <si>
    <t xml:space="preserve">ADM.001 </t>
  </si>
  <si>
    <t>ENGENHEIRO PLENO</t>
  </si>
  <si>
    <t xml:space="preserve">H </t>
  </si>
  <si>
    <t xml:space="preserve">ADM.002 </t>
  </si>
  <si>
    <t>ENGENHEIRO ELETRICISTA PLENO</t>
  </si>
  <si>
    <t xml:space="preserve">ADM.003 </t>
  </si>
  <si>
    <t>MESTRE DE OBRAS</t>
  </si>
  <si>
    <t>ADM.004</t>
  </si>
  <si>
    <t>VIGIA NOTURNO</t>
  </si>
  <si>
    <t>ADM.005</t>
  </si>
  <si>
    <t>EPI / PCMAT / PCMSO</t>
  </si>
  <si>
    <t>EPI-BOT-010</t>
  </si>
  <si>
    <t>BOTINA SOLADO INJETADO COM BIQUEIRA DE AÇO</t>
  </si>
  <si>
    <t>PAR</t>
  </si>
  <si>
    <t>EPI-BOT-015</t>
  </si>
  <si>
    <t>BOTA DE BORRACHA TIPO SETE LÉGUAS CANO  LONGO</t>
  </si>
  <si>
    <t>EPI-CAP-005</t>
  </si>
  <si>
    <t>CAPA PARA CHUVA TIPO MORCEGO</t>
  </si>
  <si>
    <t>EPI-CAP-25</t>
  </si>
  <si>
    <t>CAPACETE UNIVERSO</t>
  </si>
  <si>
    <t>EPI-CIN-005</t>
  </si>
  <si>
    <t>CINTO DE SEGURANÇA TIPO PARAQUEDISTA</t>
  </si>
  <si>
    <t>EPI-LUV-005</t>
  </si>
  <si>
    <t>LUVA DE BORRACHA MUCAMBO</t>
  </si>
  <si>
    <t>EPI-MAS-010</t>
  </si>
  <si>
    <t>MÁSCARA CONTRA PÓ</t>
  </si>
  <si>
    <t>EPI-UNI-005</t>
  </si>
  <si>
    <t>UNIFORME</t>
  </si>
  <si>
    <t>MST-PCM-005</t>
  </si>
  <si>
    <t>PCMAT</t>
  </si>
  <si>
    <t>MST-PCS-005</t>
  </si>
  <si>
    <t>PCSMO</t>
  </si>
  <si>
    <t>MST-TER-005</t>
  </si>
  <si>
    <t>TREINAMENTO DE SEGURANÇA NO TRABALHO</t>
  </si>
  <si>
    <t>ADM.006</t>
  </si>
  <si>
    <t>REFEIÇÃO</t>
  </si>
  <si>
    <t>ADM.007</t>
  </si>
  <si>
    <t>TRANSPORTE IDA/VOLTA</t>
  </si>
  <si>
    <t>ADM.008</t>
  </si>
  <si>
    <t>AS BUILT</t>
  </si>
  <si>
    <t xml:space="preserve"> CAMINHAO CARROCERIA FIXA FORD F-12000 12T / 142CV  (TRANSPORTES DE MATERIAIS/MOBILIZAÇÃO E DESMOBILIZAÇÃO)</t>
  </si>
  <si>
    <t xml:space="preserve">CHP   </t>
  </si>
  <si>
    <t>ADITIVO TOTAL</t>
  </si>
  <si>
    <t>BDI 25%</t>
  </si>
  <si>
    <t>OBS.: ANEXO : BO DA GUARDA CIVIL E POLICIA MILITAR REDS 2015-010169485-081,M6880-2016-80113139  / GUARDA MUNICIPAL 828-2015,0044-2016</t>
  </si>
  <si>
    <t>RESTITUIÇÃO DE ITENS QUE FORAM FURTADOS E/OU DANIFICADOS  POR DEPREDAÇÃO                                              DA PRAÇA DOS ESPORTES E DA CULTURA – PEC 3000</t>
  </si>
  <si>
    <t>DATA : 25/02/2016</t>
  </si>
  <si>
    <t xml:space="preserve">VALOR TOTAL OBRA CIVIL  : </t>
  </si>
  <si>
    <t xml:space="preserve">TOTAL OBRA): </t>
  </si>
  <si>
    <r>
      <t xml:space="preserve">PREÇO TOTAL (R$) </t>
    </r>
    <r>
      <rPr>
        <b/>
        <sz val="14"/>
        <color indexed="8"/>
        <rFont val="Arial"/>
        <family val="2"/>
      </rPr>
      <t>SEM BDI</t>
    </r>
  </si>
  <si>
    <r>
      <t xml:space="preserve">PREÇO TOTAL (R$) </t>
    </r>
    <r>
      <rPr>
        <b/>
        <sz val="14"/>
        <color indexed="8"/>
        <rFont val="Arial"/>
        <family val="2"/>
      </rPr>
      <t>COM BDI</t>
    </r>
  </si>
  <si>
    <r>
      <t xml:space="preserve">PREÇO UNITÁRIO </t>
    </r>
    <r>
      <rPr>
        <b/>
        <sz val="12"/>
        <color indexed="8"/>
        <rFont val="Arial"/>
        <family val="2"/>
      </rPr>
      <t xml:space="preserve">C/BDI </t>
    </r>
    <r>
      <rPr>
        <b/>
        <sz val="10"/>
        <color indexed="8"/>
        <rFont val="Arial"/>
        <family val="2"/>
      </rPr>
      <t xml:space="preserve">  (R$)</t>
    </r>
  </si>
  <si>
    <t>A numeração dos itens segue a planilha ORIGINAL da obra</t>
  </si>
</sst>
</file>

<file path=xl/styles.xml><?xml version="1.0" encoding="utf-8"?>
<styleSheet xmlns="http://schemas.openxmlformats.org/spreadsheetml/2006/main">
  <numFmts count="5">
    <numFmt numFmtId="164" formatCode="#,##0.00\ ;\-#,##0.00\ ;&quot; -&quot;#\ ;@\ "/>
    <numFmt numFmtId="165" formatCode="#,##0.00_ ;[Red]\-#,##0.00\ "/>
    <numFmt numFmtId="166" formatCode="#,##0.0"/>
    <numFmt numFmtId="167" formatCode="&quot;R$&quot;\ #,##0.00"/>
    <numFmt numFmtId="168" formatCode="&quot;R$ &quot;#,##0.00"/>
  </numFmts>
  <fonts count="25">
    <font>
      <sz val="10"/>
      <name val="Arial"/>
      <family val="2"/>
    </font>
    <font>
      <sz val="11"/>
      <color indexed="8"/>
      <name val="Calibri"/>
      <family val="2"/>
    </font>
    <font>
      <sz val="10"/>
      <color indexed="8"/>
      <name val="Arial"/>
      <family val="2"/>
    </font>
    <font>
      <sz val="8"/>
      <color indexed="8"/>
      <name val="Arial"/>
      <family val="2"/>
    </font>
    <font>
      <b/>
      <sz val="14"/>
      <color indexed="8"/>
      <name val="Arial"/>
      <family val="2"/>
    </font>
    <font>
      <b/>
      <sz val="10"/>
      <color indexed="8"/>
      <name val="Arial"/>
      <family val="2"/>
    </font>
    <font>
      <sz val="10"/>
      <name val="Arial"/>
      <family val="2"/>
    </font>
    <font>
      <b/>
      <sz val="11"/>
      <color indexed="8"/>
      <name val="Calibri"/>
      <family val="2"/>
    </font>
    <font>
      <b/>
      <sz val="10"/>
      <color indexed="48"/>
      <name val="Arial"/>
      <family val="2"/>
    </font>
    <font>
      <sz val="8"/>
      <name val="Arial"/>
      <family val="2"/>
    </font>
    <font>
      <b/>
      <sz val="8"/>
      <color indexed="8"/>
      <name val="Arial"/>
      <family val="2"/>
    </font>
    <font>
      <sz val="10"/>
      <color indexed="10"/>
      <name val="Arial"/>
      <family val="2"/>
    </font>
    <font>
      <b/>
      <sz val="8"/>
      <name val="Arial"/>
      <family val="2"/>
    </font>
    <font>
      <sz val="11"/>
      <name val="Calibri"/>
      <family val="2"/>
    </font>
    <font>
      <b/>
      <sz val="10"/>
      <name val="Arial"/>
      <family val="2"/>
    </font>
    <font>
      <sz val="10"/>
      <color rgb="FFFF0000"/>
      <name val="Arial"/>
      <family val="2"/>
    </font>
    <font>
      <sz val="11"/>
      <color rgb="FFFF0000"/>
      <name val="Calibri"/>
      <family val="2"/>
    </font>
    <font>
      <sz val="2"/>
      <color indexed="8"/>
      <name val="Calibri"/>
      <family val="2"/>
    </font>
    <font>
      <b/>
      <sz val="11"/>
      <color indexed="48"/>
      <name val="Arial"/>
      <family val="2"/>
    </font>
    <font>
      <b/>
      <sz val="11"/>
      <color indexed="8"/>
      <name val="Arial"/>
      <family val="2"/>
    </font>
    <font>
      <sz val="18"/>
      <color rgb="FFFF0000"/>
      <name val="Calibri"/>
      <family val="2"/>
    </font>
    <font>
      <sz val="11"/>
      <color indexed="8"/>
      <name val="Arial"/>
      <family val="2"/>
    </font>
    <font>
      <b/>
      <sz val="12"/>
      <color indexed="8"/>
      <name val="Arial"/>
      <family val="2"/>
    </font>
    <font>
      <b/>
      <sz val="10"/>
      <color rgb="FF0070C0"/>
      <name val="Arial"/>
      <family val="2"/>
    </font>
    <font>
      <b/>
      <sz val="16"/>
      <color indexed="8"/>
      <name val="Arial"/>
      <family val="2"/>
    </font>
  </fonts>
  <fills count="1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bgColor indexed="41"/>
      </patternFill>
    </fill>
    <fill>
      <patternFill patternType="solid">
        <fgColor rgb="FFFFFF00"/>
        <bgColor indexed="41"/>
      </patternFill>
    </fill>
    <fill>
      <patternFill patternType="solid">
        <fgColor indexed="22"/>
        <bgColor indexed="31"/>
      </patternFill>
    </fill>
    <fill>
      <patternFill patternType="solid">
        <fgColor theme="0" tint="-0.14999847407452621"/>
        <bgColor indexed="41"/>
      </patternFill>
    </fill>
    <fill>
      <patternFill patternType="solid">
        <fgColor indexed="31"/>
        <bgColor indexed="41"/>
      </patternFill>
    </fill>
    <fill>
      <patternFill patternType="solid">
        <fgColor theme="0" tint="-0.14999847407452621"/>
        <bgColor indexed="64"/>
      </patternFill>
    </fill>
    <fill>
      <patternFill patternType="solid">
        <fgColor rgb="FF92D050"/>
        <bgColor indexed="64"/>
      </patternFill>
    </fill>
    <fill>
      <patternFill patternType="solid">
        <fgColor theme="0" tint="-0.249977111117893"/>
        <bgColor indexed="41"/>
      </patternFill>
    </fill>
    <fill>
      <patternFill patternType="solid">
        <fgColor rgb="FFFF0000"/>
        <bgColor indexed="64"/>
      </patternFill>
    </fill>
    <fill>
      <patternFill patternType="solid">
        <fgColor theme="0"/>
        <bgColor indexed="26"/>
      </patternFill>
    </fill>
    <fill>
      <patternFill patternType="solid">
        <fgColor rgb="FFE6E6E6"/>
        <bgColor indexed="41"/>
      </patternFill>
    </fill>
  </fills>
  <borders count="29">
    <border>
      <left/>
      <right/>
      <top/>
      <bottom/>
      <diagonal/>
    </border>
    <border>
      <left style="thin">
        <color indexed="9"/>
      </left>
      <right style="thin">
        <color indexed="9"/>
      </right>
      <top style="thin">
        <color indexed="9"/>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right/>
      <top style="hair">
        <color indexed="8"/>
      </top>
      <bottom/>
      <diagonal/>
    </border>
    <border>
      <left/>
      <right style="hair">
        <color indexed="8"/>
      </right>
      <top style="hair">
        <color indexed="8"/>
      </top>
      <bottom/>
      <diagonal/>
    </border>
    <border>
      <left/>
      <right/>
      <top style="hair">
        <color indexed="8"/>
      </top>
      <bottom style="hair">
        <color indexed="8"/>
      </bottom>
      <diagonal/>
    </border>
    <border>
      <left/>
      <right style="hair">
        <color indexed="8"/>
      </right>
      <top/>
      <bottom/>
      <diagonal/>
    </border>
    <border>
      <left/>
      <right/>
      <top/>
      <bottom style="hair">
        <color indexed="8"/>
      </bottom>
      <diagonal/>
    </border>
    <border>
      <left/>
      <right style="hair">
        <color indexed="8"/>
      </right>
      <top/>
      <bottom style="hair">
        <color indexed="8"/>
      </bottom>
      <diagonal/>
    </border>
    <border>
      <left/>
      <right style="hair">
        <color indexed="8"/>
      </right>
      <top style="hair">
        <color indexed="8"/>
      </top>
      <bottom style="hair">
        <color indexed="8"/>
      </bottom>
      <diagonal/>
    </border>
    <border>
      <left style="medium">
        <color indexed="64"/>
      </left>
      <right style="medium">
        <color indexed="64"/>
      </right>
      <top style="medium">
        <color indexed="64"/>
      </top>
      <bottom style="medium">
        <color indexed="64"/>
      </bottom>
      <diagonal/>
    </border>
    <border>
      <left style="hair">
        <color indexed="8"/>
      </left>
      <right style="hair">
        <color indexed="8"/>
      </right>
      <top style="hair">
        <color indexed="8"/>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8"/>
      </left>
      <right style="hair">
        <color indexed="8"/>
      </right>
      <top/>
      <bottom style="hair">
        <color indexed="8"/>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164" fontId="1" fillId="0" borderId="0"/>
    <xf numFmtId="0" fontId="1" fillId="0" borderId="0"/>
    <xf numFmtId="0" fontId="1" fillId="0" borderId="0"/>
  </cellStyleXfs>
  <cellXfs count="208">
    <xf numFmtId="0" fontId="0" fillId="0" borderId="0" xfId="0"/>
    <xf numFmtId="0" fontId="1" fillId="2" borderId="0" xfId="2" applyFill="1"/>
    <xf numFmtId="4" fontId="2" fillId="2" borderId="1" xfId="2" applyNumberFormat="1" applyFont="1" applyFill="1" applyBorder="1" applyAlignment="1">
      <alignment horizontal="right" wrapText="1"/>
    </xf>
    <xf numFmtId="4" fontId="2" fillId="3" borderId="1" xfId="2" applyNumberFormat="1" applyFont="1" applyFill="1" applyBorder="1" applyAlignment="1">
      <alignment horizontal="right" wrapText="1"/>
    </xf>
    <xf numFmtId="0" fontId="5" fillId="4" borderId="0" xfId="2" applyFont="1" applyFill="1" applyBorder="1" applyAlignment="1"/>
    <xf numFmtId="0" fontId="5" fillId="5" borderId="0" xfId="2" applyFont="1" applyFill="1" applyBorder="1" applyAlignment="1"/>
    <xf numFmtId="0" fontId="5" fillId="7" borderId="10" xfId="2" applyFont="1" applyFill="1" applyBorder="1" applyAlignment="1">
      <alignment horizontal="left" vertical="top" wrapText="1"/>
    </xf>
    <xf numFmtId="4" fontId="8" fillId="7" borderId="11" xfId="2" applyNumberFormat="1" applyFont="1" applyFill="1" applyBorder="1" applyAlignment="1">
      <alignment vertical="top" wrapText="1"/>
    </xf>
    <xf numFmtId="0" fontId="1" fillId="9" borderId="0" xfId="2" applyFill="1"/>
    <xf numFmtId="4" fontId="1" fillId="2" borderId="0" xfId="2" applyNumberFormat="1" applyFill="1"/>
    <xf numFmtId="4" fontId="2" fillId="2" borderId="8" xfId="2" applyNumberFormat="1" applyFont="1" applyFill="1" applyBorder="1" applyAlignment="1">
      <alignment horizontal="right" vertical="top" wrapText="1"/>
    </xf>
    <xf numFmtId="4" fontId="6" fillId="2" borderId="7" xfId="2" applyNumberFormat="1" applyFont="1" applyFill="1" applyBorder="1" applyAlignment="1">
      <alignment horizontal="right" vertical="top" wrapText="1"/>
    </xf>
    <xf numFmtId="4" fontId="5" fillId="2" borderId="7" xfId="2" applyNumberFormat="1" applyFont="1" applyFill="1" applyBorder="1" applyAlignment="1">
      <alignment horizontal="right" vertical="top" wrapText="1"/>
    </xf>
    <xf numFmtId="4" fontId="2" fillId="2" borderId="12" xfId="2" applyNumberFormat="1" applyFont="1" applyFill="1" applyBorder="1" applyAlignment="1">
      <alignment horizontal="right" vertical="top" wrapText="1"/>
    </xf>
    <xf numFmtId="4" fontId="1" fillId="3" borderId="7" xfId="2" applyNumberFormat="1" applyFill="1" applyBorder="1"/>
    <xf numFmtId="164" fontId="2" fillId="2" borderId="12" xfId="1" applyNumberFormat="1" applyFont="1" applyFill="1" applyBorder="1" applyAlignment="1" applyProtection="1">
      <alignment horizontal="right" vertical="top" wrapText="1"/>
    </xf>
    <xf numFmtId="0" fontId="5" fillId="7" borderId="0" xfId="2" applyFont="1" applyFill="1" applyBorder="1" applyAlignment="1">
      <alignment horizontal="left" vertical="top" wrapText="1"/>
    </xf>
    <xf numFmtId="4" fontId="8" fillId="7" borderId="13" xfId="2" applyNumberFormat="1" applyFont="1" applyFill="1" applyBorder="1" applyAlignment="1">
      <alignment vertical="top" wrapText="1"/>
    </xf>
    <xf numFmtId="4" fontId="1" fillId="9" borderId="0" xfId="2" applyNumberFormat="1" applyFill="1"/>
    <xf numFmtId="4" fontId="6" fillId="2" borderId="12" xfId="2" applyNumberFormat="1" applyFont="1" applyFill="1" applyBorder="1" applyAlignment="1">
      <alignment horizontal="right" vertical="top" wrapText="1"/>
    </xf>
    <xf numFmtId="0" fontId="5" fillId="7" borderId="14" xfId="2" applyFont="1" applyFill="1" applyBorder="1" applyAlignment="1">
      <alignment horizontal="left" vertical="top" wrapText="1"/>
    </xf>
    <xf numFmtId="4" fontId="8" fillId="7" borderId="15" xfId="2" applyNumberFormat="1" applyFont="1" applyFill="1" applyBorder="1" applyAlignment="1">
      <alignment vertical="top" wrapText="1"/>
    </xf>
    <xf numFmtId="4" fontId="2" fillId="2" borderId="16" xfId="2" applyNumberFormat="1" applyFont="1" applyFill="1" applyBorder="1" applyAlignment="1">
      <alignment horizontal="right" vertical="top" wrapText="1"/>
    </xf>
    <xf numFmtId="4" fontId="6" fillId="2" borderId="16" xfId="2" applyNumberFormat="1" applyFont="1" applyFill="1" applyBorder="1" applyAlignment="1">
      <alignment horizontal="right" vertical="top" wrapText="1"/>
    </xf>
    <xf numFmtId="4" fontId="2" fillId="9" borderId="9" xfId="2" applyNumberFormat="1" applyFont="1" applyFill="1" applyBorder="1" applyAlignment="1">
      <alignment horizontal="right" vertical="top" wrapText="1"/>
    </xf>
    <xf numFmtId="4" fontId="2" fillId="9" borderId="12" xfId="2" applyNumberFormat="1" applyFont="1" applyFill="1" applyBorder="1" applyAlignment="1">
      <alignment horizontal="right" vertical="top" wrapText="1"/>
    </xf>
    <xf numFmtId="4" fontId="8" fillId="7" borderId="16" xfId="2" applyNumberFormat="1" applyFont="1" applyFill="1" applyBorder="1" applyAlignment="1">
      <alignment vertical="top" wrapText="1"/>
    </xf>
    <xf numFmtId="0" fontId="5" fillId="7" borderId="12" xfId="2" applyFont="1" applyFill="1" applyBorder="1" applyAlignment="1">
      <alignment horizontal="left" vertical="top" wrapText="1"/>
    </xf>
    <xf numFmtId="0" fontId="13" fillId="2" borderId="0" xfId="2" applyFont="1" applyFill="1"/>
    <xf numFmtId="0" fontId="13" fillId="9" borderId="0" xfId="2" applyFont="1" applyFill="1"/>
    <xf numFmtId="0" fontId="14" fillId="7" borderId="12" xfId="2" applyFont="1" applyFill="1" applyBorder="1" applyAlignment="1">
      <alignment horizontal="left" vertical="top" wrapText="1"/>
    </xf>
    <xf numFmtId="0" fontId="14" fillId="7" borderId="10" xfId="2" applyFont="1" applyFill="1" applyBorder="1" applyAlignment="1">
      <alignment horizontal="left" vertical="top" wrapText="1"/>
    </xf>
    <xf numFmtId="164" fontId="6" fillId="2" borderId="16" xfId="1" applyNumberFormat="1" applyFont="1" applyFill="1" applyBorder="1" applyAlignment="1" applyProtection="1">
      <alignment horizontal="right" vertical="top" wrapText="1"/>
    </xf>
    <xf numFmtId="4" fontId="13" fillId="2" borderId="0" xfId="2" applyNumberFormat="1" applyFont="1" applyFill="1"/>
    <xf numFmtId="4" fontId="2" fillId="2" borderId="16" xfId="0" applyNumberFormat="1" applyFont="1" applyFill="1" applyBorder="1" applyAlignment="1">
      <alignment horizontal="right" vertical="top" wrapText="1"/>
    </xf>
    <xf numFmtId="4" fontId="15" fillId="2" borderId="7" xfId="2" applyNumberFormat="1" applyFont="1" applyFill="1" applyBorder="1" applyAlignment="1">
      <alignment horizontal="right" vertical="top" wrapText="1"/>
    </xf>
    <xf numFmtId="4" fontId="16" fillId="2" borderId="0" xfId="2" applyNumberFormat="1" applyFont="1" applyFill="1"/>
    <xf numFmtId="164" fontId="2" fillId="9" borderId="8" xfId="1" applyNumberFormat="1" applyFont="1" applyFill="1" applyBorder="1" applyAlignment="1" applyProtection="1">
      <alignment horizontal="right" vertical="top" wrapText="1"/>
    </xf>
    <xf numFmtId="164" fontId="2" fillId="2" borderId="16" xfId="1" applyNumberFormat="1" applyFont="1" applyFill="1" applyBorder="1" applyAlignment="1">
      <alignment horizontal="right" vertical="top" wrapText="1"/>
    </xf>
    <xf numFmtId="4" fontId="6" fillId="2" borderId="8" xfId="2" applyNumberFormat="1" applyFont="1" applyFill="1" applyBorder="1" applyAlignment="1">
      <alignment horizontal="right" vertical="top" wrapText="1"/>
    </xf>
    <xf numFmtId="0" fontId="1" fillId="2" borderId="17" xfId="2" applyFill="1" applyBorder="1"/>
    <xf numFmtId="0" fontId="16" fillId="2" borderId="0" xfId="2" applyFont="1" applyFill="1"/>
    <xf numFmtId="0" fontId="16" fillId="9" borderId="0" xfId="2" applyFont="1" applyFill="1"/>
    <xf numFmtId="0" fontId="2" fillId="2" borderId="7" xfId="2" applyFont="1" applyFill="1" applyBorder="1" applyAlignment="1">
      <alignment horizontal="center" vertical="top" wrapText="1"/>
    </xf>
    <xf numFmtId="165" fontId="1" fillId="2" borderId="7" xfId="2" applyNumberFormat="1" applyFill="1" applyBorder="1" applyAlignment="1">
      <alignment horizontal="center" vertical="center"/>
    </xf>
    <xf numFmtId="165" fontId="16" fillId="2" borderId="7" xfId="2" applyNumberFormat="1" applyFont="1" applyFill="1" applyBorder="1" applyAlignment="1">
      <alignment horizontal="right" vertical="center"/>
    </xf>
    <xf numFmtId="4" fontId="8" fillId="11" borderId="16" xfId="2" applyNumberFormat="1" applyFont="1" applyFill="1" applyBorder="1" applyAlignment="1">
      <alignment vertical="top" wrapText="1"/>
    </xf>
    <xf numFmtId="4" fontId="1" fillId="10" borderId="7" xfId="2" applyNumberFormat="1" applyFill="1" applyBorder="1"/>
    <xf numFmtId="4" fontId="5" fillId="2" borderId="8" xfId="2" applyNumberFormat="1" applyFont="1" applyFill="1" applyBorder="1" applyAlignment="1">
      <alignment horizontal="right" vertical="top" wrapText="1"/>
    </xf>
    <xf numFmtId="4" fontId="2" fillId="2" borderId="0" xfId="2" applyNumberFormat="1" applyFont="1" applyFill="1" applyBorder="1" applyAlignment="1">
      <alignment horizontal="right" vertical="top" wrapText="1"/>
    </xf>
    <xf numFmtId="4" fontId="6" fillId="2" borderId="0" xfId="2" applyNumberFormat="1" applyFont="1" applyFill="1" applyBorder="1" applyAlignment="1">
      <alignment horizontal="right" vertical="top" wrapText="1"/>
    </xf>
    <xf numFmtId="4" fontId="5" fillId="2" borderId="0" xfId="2" applyNumberFormat="1" applyFont="1" applyFill="1" applyBorder="1" applyAlignment="1">
      <alignment horizontal="right" vertical="top" wrapText="1"/>
    </xf>
    <xf numFmtId="4" fontId="1" fillId="10" borderId="0" xfId="2" applyNumberFormat="1" applyFill="1" applyBorder="1"/>
    <xf numFmtId="166" fontId="5" fillId="2" borderId="7" xfId="2" applyNumberFormat="1" applyFont="1" applyFill="1" applyBorder="1" applyAlignment="1">
      <alignment horizontal="right" vertical="top" wrapText="1"/>
    </xf>
    <xf numFmtId="0" fontId="5" fillId="2" borderId="8" xfId="2" applyFont="1" applyFill="1" applyBorder="1" applyAlignment="1">
      <alignment horizontal="right" vertical="top"/>
    </xf>
    <xf numFmtId="4" fontId="5" fillId="2" borderId="8" xfId="2" applyNumberFormat="1" applyFont="1" applyFill="1" applyBorder="1" applyAlignment="1">
      <alignment horizontal="right" vertical="top"/>
    </xf>
    <xf numFmtId="0" fontId="2" fillId="2" borderId="0" xfId="2" applyFont="1" applyFill="1"/>
    <xf numFmtId="0" fontId="3" fillId="2" borderId="0" xfId="2" applyFont="1" applyFill="1"/>
    <xf numFmtId="4" fontId="2" fillId="2" borderId="0" xfId="2" applyNumberFormat="1" applyFont="1" applyFill="1"/>
    <xf numFmtId="4" fontId="5" fillId="2" borderId="18" xfId="2" applyNumberFormat="1" applyFont="1" applyFill="1" applyBorder="1" applyAlignment="1">
      <alignment horizontal="right" vertical="top"/>
    </xf>
    <xf numFmtId="167" fontId="20" fillId="2" borderId="0" xfId="2" applyNumberFormat="1" applyFont="1" applyFill="1"/>
    <xf numFmtId="0" fontId="21" fillId="13" borderId="0" xfId="0" applyFont="1" applyFill="1"/>
    <xf numFmtId="0" fontId="3" fillId="13" borderId="0" xfId="0" applyFont="1" applyFill="1"/>
    <xf numFmtId="168" fontId="21" fillId="13" borderId="0" xfId="0" applyNumberFormat="1" applyFont="1" applyFill="1"/>
    <xf numFmtId="4" fontId="2" fillId="2" borderId="7" xfId="2" applyNumberFormat="1" applyFont="1" applyFill="1" applyBorder="1"/>
    <xf numFmtId="167" fontId="21" fillId="13" borderId="0" xfId="0" applyNumberFormat="1" applyFont="1" applyFill="1"/>
    <xf numFmtId="167" fontId="1" fillId="2" borderId="0" xfId="2" applyNumberFormat="1" applyFill="1"/>
    <xf numFmtId="0" fontId="2" fillId="2" borderId="0" xfId="2" applyFont="1" applyFill="1" applyBorder="1"/>
    <xf numFmtId="0" fontId="3" fillId="2" borderId="0" xfId="2" applyFont="1" applyFill="1" applyBorder="1"/>
    <xf numFmtId="4" fontId="2" fillId="2" borderId="0" xfId="2" applyNumberFormat="1" applyFont="1" applyFill="1" applyBorder="1"/>
    <xf numFmtId="4" fontId="2" fillId="3" borderId="0" xfId="2" applyNumberFormat="1" applyFont="1" applyFill="1"/>
    <xf numFmtId="0" fontId="2" fillId="2" borderId="0" xfId="2" applyFont="1" applyFill="1" applyAlignment="1">
      <alignment horizontal="center"/>
    </xf>
    <xf numFmtId="0" fontId="5" fillId="6" borderId="21" xfId="2" applyFont="1" applyFill="1" applyBorder="1" applyAlignment="1">
      <alignment horizontal="center" vertical="top" wrapText="1"/>
    </xf>
    <xf numFmtId="0" fontId="5" fillId="4" borderId="0" xfId="3" applyNumberFormat="1" applyFont="1" applyFill="1" applyBorder="1" applyAlignment="1" applyProtection="1">
      <alignment horizontal="left" wrapText="1"/>
    </xf>
    <xf numFmtId="0" fontId="1" fillId="2" borderId="0" xfId="2" applyFill="1" applyBorder="1"/>
    <xf numFmtId="0" fontId="5" fillId="6" borderId="15" xfId="2" applyFont="1" applyFill="1" applyBorder="1" applyAlignment="1">
      <alignment horizontal="center" vertical="top" wrapText="1"/>
    </xf>
    <xf numFmtId="4" fontId="11" fillId="9" borderId="12" xfId="2" applyNumberFormat="1" applyFont="1" applyFill="1" applyBorder="1" applyAlignment="1">
      <alignment horizontal="right" vertical="top" wrapText="1"/>
    </xf>
    <xf numFmtId="164" fontId="6" fillId="2" borderId="16" xfId="1" applyNumberFormat="1" applyFont="1" applyFill="1" applyBorder="1" applyAlignment="1">
      <alignment horizontal="right" vertical="top" wrapText="1"/>
    </xf>
    <xf numFmtId="2" fontId="2" fillId="2" borderId="12" xfId="2" applyNumberFormat="1" applyFont="1" applyFill="1" applyBorder="1" applyAlignment="1">
      <alignment horizontal="right" vertical="top" wrapText="1"/>
    </xf>
    <xf numFmtId="4" fontId="0" fillId="2" borderId="16" xfId="0" applyNumberFormat="1" applyFont="1" applyFill="1" applyBorder="1" applyAlignment="1">
      <alignment horizontal="right" vertical="top" wrapText="1"/>
    </xf>
    <xf numFmtId="164" fontId="2" fillId="2" borderId="16" xfId="1" applyNumberFormat="1" applyFont="1" applyFill="1" applyBorder="1" applyAlignment="1" applyProtection="1">
      <alignment horizontal="right" vertical="top" wrapText="1"/>
    </xf>
    <xf numFmtId="165" fontId="1" fillId="2" borderId="6" xfId="2" applyNumberFormat="1" applyFill="1" applyBorder="1" applyAlignment="1">
      <alignment horizontal="center" vertical="center"/>
    </xf>
    <xf numFmtId="165" fontId="1" fillId="0" borderId="6" xfId="2" applyNumberFormat="1" applyBorder="1" applyAlignment="1">
      <alignment horizontal="center" vertical="center"/>
    </xf>
    <xf numFmtId="0" fontId="2" fillId="2" borderId="16" xfId="2" applyFont="1" applyFill="1" applyBorder="1" applyAlignment="1">
      <alignment horizontal="center" vertical="top" wrapText="1"/>
    </xf>
    <xf numFmtId="4" fontId="2" fillId="9" borderId="16" xfId="2" applyNumberFormat="1" applyFont="1" applyFill="1" applyBorder="1" applyAlignment="1">
      <alignment horizontal="right" vertical="top" wrapText="1"/>
    </xf>
    <xf numFmtId="3" fontId="5" fillId="7" borderId="7" xfId="2" applyNumberFormat="1" applyFont="1" applyFill="1" applyBorder="1" applyAlignment="1">
      <alignment horizontal="left" vertical="top" wrapText="1"/>
    </xf>
    <xf numFmtId="0" fontId="5" fillId="4" borderId="7" xfId="2" applyFont="1" applyFill="1" applyBorder="1" applyAlignment="1">
      <alignment horizontal="left" vertical="top" wrapText="1"/>
    </xf>
    <xf numFmtId="4" fontId="8" fillId="7" borderId="7" xfId="2" applyNumberFormat="1" applyFont="1" applyFill="1" applyBorder="1" applyAlignment="1">
      <alignment vertical="top" wrapText="1"/>
    </xf>
    <xf numFmtId="3" fontId="2" fillId="2" borderId="7" xfId="2" applyNumberFormat="1" applyFont="1" applyFill="1" applyBorder="1" applyAlignment="1">
      <alignment horizontal="left" vertical="top" wrapText="1"/>
    </xf>
    <xf numFmtId="0" fontId="3" fillId="2" borderId="7" xfId="2" applyFont="1" applyFill="1" applyBorder="1" applyAlignment="1">
      <alignment horizontal="left" vertical="top" wrapText="1"/>
    </xf>
    <xf numFmtId="0" fontId="3" fillId="2" borderId="7" xfId="2" applyFont="1" applyFill="1" applyBorder="1" applyAlignment="1">
      <alignment horizontal="center" vertical="top" wrapText="1"/>
    </xf>
    <xf numFmtId="4" fontId="2" fillId="2" borderId="7" xfId="2" applyNumberFormat="1" applyFont="1" applyFill="1" applyBorder="1" applyAlignment="1">
      <alignment horizontal="right" vertical="top" wrapText="1"/>
    </xf>
    <xf numFmtId="3" fontId="2" fillId="3" borderId="7" xfId="2" applyNumberFormat="1" applyFont="1" applyFill="1" applyBorder="1" applyAlignment="1">
      <alignment horizontal="left" vertical="top" wrapText="1"/>
    </xf>
    <xf numFmtId="0" fontId="3" fillId="2" borderId="7" xfId="0" applyFont="1" applyFill="1" applyBorder="1" applyAlignment="1">
      <alignment horizontal="left" vertical="top" wrapText="1"/>
    </xf>
    <xf numFmtId="0" fontId="3" fillId="2" borderId="7" xfId="2" applyNumberFormat="1" applyFont="1" applyFill="1" applyBorder="1" applyAlignment="1" applyProtection="1">
      <alignment horizontal="left" vertical="top" wrapText="1"/>
    </xf>
    <xf numFmtId="0" fontId="3" fillId="2" borderId="7" xfId="2" applyNumberFormat="1" applyFont="1" applyFill="1" applyBorder="1" applyAlignment="1" applyProtection="1">
      <alignment horizontal="center" vertical="top" wrapText="1"/>
    </xf>
    <xf numFmtId="0" fontId="9" fillId="2" borderId="7" xfId="2" applyFont="1" applyFill="1" applyBorder="1" applyAlignment="1" applyProtection="1">
      <alignment horizontal="left" vertical="top" wrapText="1"/>
    </xf>
    <xf numFmtId="164" fontId="2" fillId="2" borderId="7" xfId="1" applyNumberFormat="1" applyFont="1" applyFill="1" applyBorder="1" applyAlignment="1" applyProtection="1">
      <alignment horizontal="right" vertical="top" wrapText="1"/>
    </xf>
    <xf numFmtId="0" fontId="10" fillId="7" borderId="7" xfId="2" applyFont="1" applyFill="1" applyBorder="1" applyAlignment="1">
      <alignment horizontal="left" vertical="top" wrapText="1"/>
    </xf>
    <xf numFmtId="3" fontId="6" fillId="2" borderId="7" xfId="2" applyNumberFormat="1" applyFont="1" applyFill="1" applyBorder="1" applyAlignment="1">
      <alignment horizontal="left" vertical="top" wrapText="1"/>
    </xf>
    <xf numFmtId="0" fontId="9" fillId="2" borderId="7" xfId="2" applyFont="1" applyFill="1" applyBorder="1" applyAlignment="1">
      <alignment horizontal="left" vertical="top" wrapText="1"/>
    </xf>
    <xf numFmtId="0" fontId="9" fillId="2" borderId="7" xfId="2" applyFont="1" applyFill="1" applyBorder="1" applyAlignment="1">
      <alignment horizontal="center" vertical="top" wrapText="1"/>
    </xf>
    <xf numFmtId="3" fontId="5" fillId="9" borderId="7" xfId="2" applyNumberFormat="1" applyFont="1" applyFill="1" applyBorder="1" applyAlignment="1">
      <alignment horizontal="left" vertical="top" wrapText="1"/>
    </xf>
    <xf numFmtId="0" fontId="10" fillId="9" borderId="7" xfId="2" applyFont="1" applyFill="1" applyBorder="1" applyAlignment="1">
      <alignment horizontal="left" vertical="top" wrapText="1"/>
    </xf>
    <xf numFmtId="0" fontId="5" fillId="9" borderId="7" xfId="2" applyFont="1" applyFill="1" applyBorder="1" applyAlignment="1">
      <alignment horizontal="left" vertical="top" wrapText="1"/>
    </xf>
    <xf numFmtId="0" fontId="3" fillId="9" borderId="7" xfId="2" applyFont="1" applyFill="1" applyBorder="1" applyAlignment="1">
      <alignment horizontal="center" vertical="top" wrapText="1"/>
    </xf>
    <xf numFmtId="4" fontId="11" fillId="9" borderId="7" xfId="2" applyNumberFormat="1" applyFont="1" applyFill="1" applyBorder="1" applyAlignment="1">
      <alignment horizontal="right" vertical="top" wrapText="1"/>
    </xf>
    <xf numFmtId="4" fontId="2" fillId="9" borderId="7" xfId="2" applyNumberFormat="1" applyFont="1" applyFill="1" applyBorder="1" applyAlignment="1">
      <alignment horizontal="right" vertical="top" wrapText="1"/>
    </xf>
    <xf numFmtId="3" fontId="0" fillId="2" borderId="7" xfId="2" applyNumberFormat="1" applyFont="1" applyFill="1" applyBorder="1" applyAlignment="1">
      <alignment horizontal="left" vertical="top" wrapText="1"/>
    </xf>
    <xf numFmtId="3" fontId="14" fillId="7" borderId="7" xfId="2" applyNumberFormat="1" applyFont="1" applyFill="1" applyBorder="1" applyAlignment="1">
      <alignment horizontal="left" vertical="top" wrapText="1"/>
    </xf>
    <xf numFmtId="0" fontId="12" fillId="7" borderId="7" xfId="2" applyFont="1" applyFill="1" applyBorder="1" applyAlignment="1">
      <alignment horizontal="left" vertical="top" wrapText="1"/>
    </xf>
    <xf numFmtId="0" fontId="9" fillId="2" borderId="7" xfId="2" applyNumberFormat="1" applyFont="1" applyFill="1" applyBorder="1" applyAlignment="1" applyProtection="1">
      <alignment horizontal="left" vertical="top" wrapText="1"/>
    </xf>
    <xf numFmtId="0" fontId="9" fillId="2" borderId="7" xfId="2" applyNumberFormat="1" applyFont="1" applyFill="1" applyBorder="1" applyAlignment="1" applyProtection="1">
      <alignment horizontal="center" vertical="top" wrapText="1"/>
    </xf>
    <xf numFmtId="164" fontId="6" fillId="2" borderId="7" xfId="1" applyNumberFormat="1" applyFont="1" applyFill="1" applyBorder="1" applyAlignment="1" applyProtection="1">
      <alignment horizontal="right" vertical="top" wrapText="1"/>
    </xf>
    <xf numFmtId="0" fontId="3" fillId="2" borderId="7" xfId="0" applyFont="1" applyFill="1" applyBorder="1" applyAlignment="1">
      <alignment horizontal="center" vertical="top" wrapText="1"/>
    </xf>
    <xf numFmtId="4" fontId="2" fillId="2" borderId="7" xfId="0" applyNumberFormat="1" applyFont="1" applyFill="1" applyBorder="1" applyAlignment="1">
      <alignment horizontal="right" vertical="top" wrapText="1"/>
    </xf>
    <xf numFmtId="0" fontId="3" fillId="2" borderId="7" xfId="2" applyFont="1" applyFill="1" applyBorder="1" applyAlignment="1">
      <alignment horizontal="right" vertical="top" wrapText="1"/>
    </xf>
    <xf numFmtId="3" fontId="5" fillId="4" borderId="7" xfId="2" applyNumberFormat="1" applyFont="1" applyFill="1" applyBorder="1" applyAlignment="1" applyProtection="1">
      <alignment horizontal="left" vertical="top" wrapText="1"/>
    </xf>
    <xf numFmtId="3" fontId="2" fillId="2" borderId="7" xfId="2" applyNumberFormat="1" applyFont="1" applyFill="1" applyBorder="1" applyAlignment="1" applyProtection="1">
      <alignment horizontal="left" vertical="top" wrapText="1"/>
    </xf>
    <xf numFmtId="0" fontId="3" fillId="2" borderId="7" xfId="2" applyNumberFormat="1" applyFont="1" applyFill="1" applyBorder="1" applyAlignment="1">
      <alignment horizontal="left" vertical="top" wrapText="1"/>
    </xf>
    <xf numFmtId="0" fontId="3" fillId="2" borderId="7" xfId="2" applyNumberFormat="1" applyFont="1" applyFill="1" applyBorder="1" applyAlignment="1">
      <alignment horizontal="center" vertical="top" wrapText="1"/>
    </xf>
    <xf numFmtId="164" fontId="2" fillId="2" borderId="7" xfId="1" applyNumberFormat="1" applyFont="1" applyFill="1" applyBorder="1" applyAlignment="1">
      <alignment horizontal="right" vertical="top" wrapText="1"/>
    </xf>
    <xf numFmtId="3" fontId="0" fillId="2" borderId="7" xfId="2" applyNumberFormat="1" applyFont="1" applyFill="1" applyBorder="1" applyAlignment="1" applyProtection="1">
      <alignment horizontal="left" vertical="top" wrapText="1"/>
    </xf>
    <xf numFmtId="0" fontId="9" fillId="2" borderId="7" xfId="2" applyNumberFormat="1" applyFont="1" applyFill="1" applyBorder="1" applyAlignment="1">
      <alignment horizontal="left" vertical="top" wrapText="1"/>
    </xf>
    <xf numFmtId="0" fontId="9" fillId="2" borderId="7" xfId="2" applyNumberFormat="1" applyFont="1" applyFill="1" applyBorder="1" applyAlignment="1">
      <alignment horizontal="center" vertical="top" wrapText="1"/>
    </xf>
    <xf numFmtId="164" fontId="6" fillId="2" borderId="7" xfId="1" applyNumberFormat="1" applyFont="1" applyFill="1" applyBorder="1" applyAlignment="1">
      <alignment horizontal="right" vertical="top" wrapText="1"/>
    </xf>
    <xf numFmtId="3" fontId="5" fillId="7" borderId="7" xfId="2" applyNumberFormat="1" applyFont="1" applyFill="1" applyBorder="1" applyAlignment="1" applyProtection="1">
      <alignment horizontal="left" vertical="top" wrapText="1"/>
    </xf>
    <xf numFmtId="2" fontId="2" fillId="2" borderId="7" xfId="2" applyNumberFormat="1" applyFont="1" applyFill="1" applyBorder="1" applyAlignment="1">
      <alignment horizontal="right" vertical="top" wrapText="1"/>
    </xf>
    <xf numFmtId="0" fontId="9" fillId="2" borderId="7" xfId="0" applyFont="1" applyFill="1" applyBorder="1" applyAlignment="1">
      <alignment horizontal="left" vertical="top" wrapText="1"/>
    </xf>
    <xf numFmtId="0" fontId="9" fillId="2" borderId="7" xfId="0" applyFont="1" applyFill="1" applyBorder="1" applyAlignment="1">
      <alignment horizontal="center" vertical="top" wrapText="1"/>
    </xf>
    <xf numFmtId="4" fontId="0" fillId="2" borderId="7" xfId="0" applyNumberFormat="1" applyFont="1" applyFill="1" applyBorder="1" applyAlignment="1">
      <alignment horizontal="right" vertical="top" wrapText="1"/>
    </xf>
    <xf numFmtId="3" fontId="6" fillId="2" borderId="7" xfId="2" applyNumberFormat="1" applyFont="1" applyFill="1" applyBorder="1" applyAlignment="1" applyProtection="1">
      <alignment horizontal="left" vertical="top" wrapText="1"/>
    </xf>
    <xf numFmtId="0" fontId="3" fillId="2" borderId="7" xfId="0" applyFont="1" applyFill="1" applyBorder="1" applyAlignment="1">
      <alignment vertical="center" wrapText="1"/>
    </xf>
    <xf numFmtId="3" fontId="14" fillId="7" borderId="7" xfId="2" applyNumberFormat="1" applyFont="1" applyFill="1" applyBorder="1" applyAlignment="1" applyProtection="1">
      <alignment horizontal="left" vertical="top" wrapText="1"/>
    </xf>
    <xf numFmtId="2" fontId="5" fillId="7" borderId="7" xfId="2" applyNumberFormat="1" applyFont="1" applyFill="1" applyBorder="1" applyAlignment="1">
      <alignment horizontal="left" vertical="top" wrapText="1"/>
    </xf>
    <xf numFmtId="3" fontId="2" fillId="12" borderId="7" xfId="2" applyNumberFormat="1" applyFont="1" applyFill="1" applyBorder="1" applyAlignment="1" applyProtection="1">
      <alignment horizontal="left" vertical="top" wrapText="1"/>
    </xf>
    <xf numFmtId="0" fontId="10" fillId="2" borderId="7" xfId="2" applyFont="1" applyFill="1" applyBorder="1" applyAlignment="1">
      <alignment horizontal="left" vertical="top" wrapText="1"/>
    </xf>
    <xf numFmtId="0" fontId="3" fillId="2" borderId="7" xfId="2" applyFont="1" applyFill="1" applyBorder="1"/>
    <xf numFmtId="4" fontId="5" fillId="2" borderId="7" xfId="2" applyNumberFormat="1" applyFont="1" applyFill="1" applyBorder="1" applyAlignment="1">
      <alignment horizontal="right" vertical="top"/>
    </xf>
    <xf numFmtId="3" fontId="5" fillId="14" borderId="7" xfId="2" applyNumberFormat="1" applyFont="1" applyFill="1" applyBorder="1" applyAlignment="1">
      <alignment horizontal="left" vertical="top" wrapText="1"/>
    </xf>
    <xf numFmtId="4" fontId="23" fillId="14" borderId="7" xfId="2" applyNumberFormat="1" applyFont="1" applyFill="1" applyBorder="1" applyAlignment="1">
      <alignment horizontal="right" vertical="top" wrapText="1"/>
    </xf>
    <xf numFmtId="4" fontId="23" fillId="2" borderId="7" xfId="2" applyNumberFormat="1" applyFont="1" applyFill="1" applyBorder="1" applyAlignment="1">
      <alignment horizontal="right" vertical="top" wrapText="1"/>
    </xf>
    <xf numFmtId="0" fontId="5" fillId="7" borderId="7" xfId="2" applyFont="1" applyFill="1" applyBorder="1" applyAlignment="1">
      <alignment horizontal="left" vertical="top" wrapText="1"/>
    </xf>
    <xf numFmtId="0" fontId="14" fillId="7" borderId="7" xfId="2" applyFont="1" applyFill="1" applyBorder="1" applyAlignment="1">
      <alignment horizontal="left" vertical="top" wrapText="1"/>
    </xf>
    <xf numFmtId="0" fontId="5" fillId="2" borderId="7" xfId="2" applyFont="1" applyFill="1" applyBorder="1" applyAlignment="1">
      <alignment horizontal="right" vertical="top"/>
    </xf>
    <xf numFmtId="4" fontId="1" fillId="3" borderId="0" xfId="2" applyNumberFormat="1" applyFill="1" applyBorder="1"/>
    <xf numFmtId="167" fontId="24" fillId="2" borderId="27" xfId="2" applyNumberFormat="1" applyFont="1" applyFill="1" applyBorder="1" applyAlignment="1">
      <alignment vertical="top"/>
    </xf>
    <xf numFmtId="167" fontId="24" fillId="2" borderId="6" xfId="2" applyNumberFormat="1" applyFont="1" applyFill="1" applyBorder="1" applyAlignment="1">
      <alignment vertical="top"/>
    </xf>
    <xf numFmtId="4" fontId="1" fillId="2" borderId="0" xfId="2" applyNumberFormat="1" applyFill="1" applyBorder="1"/>
    <xf numFmtId="3" fontId="2" fillId="14" borderId="7" xfId="2" applyNumberFormat="1" applyFont="1" applyFill="1" applyBorder="1" applyAlignment="1">
      <alignment horizontal="left" vertical="top" wrapText="1"/>
    </xf>
    <xf numFmtId="0" fontId="5" fillId="6" borderId="28" xfId="2" applyFont="1" applyFill="1" applyBorder="1" applyAlignment="1">
      <alignment horizontal="center" vertical="top" wrapText="1"/>
    </xf>
    <xf numFmtId="0" fontId="1" fillId="2" borderId="2" xfId="2" applyFill="1" applyBorder="1"/>
    <xf numFmtId="0" fontId="1" fillId="2" borderId="23" xfId="2" applyFill="1" applyBorder="1"/>
    <xf numFmtId="0" fontId="1" fillId="2" borderId="25" xfId="2" applyFill="1" applyBorder="1"/>
    <xf numFmtId="0" fontId="1" fillId="2" borderId="3" xfId="2" applyFill="1" applyBorder="1"/>
    <xf numFmtId="0" fontId="2" fillId="2" borderId="4" xfId="2" applyFont="1" applyFill="1" applyBorder="1" applyAlignment="1">
      <alignment horizontal="center" wrapText="1"/>
    </xf>
    <xf numFmtId="0" fontId="1" fillId="2" borderId="4" xfId="2" applyFill="1" applyBorder="1"/>
    <xf numFmtId="0" fontId="1" fillId="2" borderId="26" xfId="2" applyFill="1" applyBorder="1"/>
    <xf numFmtId="4" fontId="22" fillId="2" borderId="28" xfId="2" applyNumberFormat="1" applyFont="1" applyFill="1" applyBorder="1"/>
    <xf numFmtId="0" fontId="1" fillId="9" borderId="0" xfId="2" applyFill="1" applyBorder="1"/>
    <xf numFmtId="4" fontId="1" fillId="9" borderId="0" xfId="2" applyNumberFormat="1" applyFill="1" applyBorder="1"/>
    <xf numFmtId="0" fontId="13" fillId="2" borderId="0" xfId="2" applyFont="1" applyFill="1" applyBorder="1"/>
    <xf numFmtId="0" fontId="13" fillId="9" borderId="0" xfId="2" applyFont="1" applyFill="1" applyBorder="1"/>
    <xf numFmtId="4" fontId="17" fillId="2" borderId="0" xfId="2" applyNumberFormat="1" applyFont="1" applyFill="1" applyBorder="1"/>
    <xf numFmtId="0" fontId="1" fillId="2" borderId="24" xfId="2" applyFont="1" applyFill="1" applyBorder="1"/>
    <xf numFmtId="4" fontId="2" fillId="2" borderId="25" xfId="2" applyNumberFormat="1" applyFont="1" applyFill="1" applyBorder="1"/>
    <xf numFmtId="0" fontId="21" fillId="13" borderId="24" xfId="0" applyFont="1" applyFill="1" applyBorder="1"/>
    <xf numFmtId="0" fontId="21" fillId="0" borderId="0" xfId="0" applyFont="1" applyFill="1" applyBorder="1" applyAlignment="1"/>
    <xf numFmtId="0" fontId="3" fillId="13" borderId="0" xfId="0" applyFont="1" applyFill="1" applyBorder="1"/>
    <xf numFmtId="0" fontId="21" fillId="13" borderId="0" xfId="0" applyFont="1" applyFill="1" applyBorder="1"/>
    <xf numFmtId="168" fontId="21" fillId="13" borderId="0" xfId="0" applyNumberFormat="1" applyFont="1" applyFill="1" applyBorder="1"/>
    <xf numFmtId="0" fontId="21" fillId="13" borderId="3" xfId="0" applyFont="1" applyFill="1" applyBorder="1"/>
    <xf numFmtId="0" fontId="21" fillId="13" borderId="4" xfId="0" applyFont="1" applyFill="1" applyBorder="1"/>
    <xf numFmtId="0" fontId="3" fillId="13" borderId="4" xfId="0" applyFont="1" applyFill="1" applyBorder="1"/>
    <xf numFmtId="168" fontId="21" fillId="13" borderId="4" xfId="0" applyNumberFormat="1" applyFont="1" applyFill="1" applyBorder="1"/>
    <xf numFmtId="4" fontId="2" fillId="2" borderId="4" xfId="2" applyNumberFormat="1" applyFont="1" applyFill="1" applyBorder="1"/>
    <xf numFmtId="4" fontId="2" fillId="2" borderId="26" xfId="2" applyNumberFormat="1" applyFont="1" applyFill="1" applyBorder="1"/>
    <xf numFmtId="0" fontId="1" fillId="2" borderId="0" xfId="2" applyFill="1" applyAlignment="1">
      <alignment horizontal="center"/>
    </xf>
    <xf numFmtId="0" fontId="1" fillId="2" borderId="0" xfId="2" applyFill="1" applyBorder="1" applyAlignment="1">
      <alignment horizontal="center"/>
    </xf>
    <xf numFmtId="0" fontId="7" fillId="2" borderId="27" xfId="2" applyFont="1" applyFill="1" applyBorder="1" applyAlignment="1">
      <alignment horizontal="center"/>
    </xf>
    <xf numFmtId="0" fontId="7" fillId="2" borderId="5" xfId="2" applyFont="1" applyFill="1" applyBorder="1" applyAlignment="1">
      <alignment horizontal="center"/>
    </xf>
    <xf numFmtId="0" fontId="7" fillId="2" borderId="6" xfId="2" applyFont="1" applyFill="1" applyBorder="1" applyAlignment="1">
      <alignment horizontal="center"/>
    </xf>
    <xf numFmtId="0" fontId="4" fillId="2" borderId="0" xfId="2" applyFont="1" applyFill="1" applyBorder="1" applyAlignment="1">
      <alignment horizontal="center" vertical="center" wrapText="1"/>
    </xf>
    <xf numFmtId="0" fontId="5" fillId="4" borderId="22" xfId="2" applyFont="1" applyFill="1" applyBorder="1" applyAlignment="1">
      <alignment horizontal="right" wrapText="1"/>
    </xf>
    <xf numFmtId="0" fontId="5" fillId="4" borderId="2" xfId="2" applyFont="1" applyFill="1" applyBorder="1" applyAlignment="1">
      <alignment horizontal="right" wrapText="1"/>
    </xf>
    <xf numFmtId="0" fontId="5" fillId="4" borderId="2" xfId="2" applyFont="1" applyFill="1" applyBorder="1" applyAlignment="1">
      <alignment horizontal="center"/>
    </xf>
    <xf numFmtId="0" fontId="22" fillId="4" borderId="2" xfId="2" applyFont="1" applyFill="1" applyBorder="1" applyAlignment="1">
      <alignment horizontal="center" wrapText="1"/>
    </xf>
    <xf numFmtId="0" fontId="5" fillId="7" borderId="7" xfId="2" applyFont="1" applyFill="1" applyBorder="1" applyAlignment="1">
      <alignment horizontal="left" vertical="top" wrapText="1"/>
    </xf>
    <xf numFmtId="0" fontId="5" fillId="4" borderId="24" xfId="2" applyFont="1" applyFill="1" applyBorder="1" applyAlignment="1">
      <alignment horizontal="right" wrapText="1"/>
    </xf>
    <xf numFmtId="0" fontId="0" fillId="2" borderId="0" xfId="0" applyFill="1" applyBorder="1" applyAlignment="1">
      <alignment horizontal="right"/>
    </xf>
    <xf numFmtId="0" fontId="5" fillId="4" borderId="0" xfId="2" applyFont="1" applyFill="1" applyBorder="1" applyAlignment="1">
      <alignment horizontal="left" wrapText="1"/>
    </xf>
    <xf numFmtId="0" fontId="5" fillId="4" borderId="0" xfId="2" applyFont="1" applyFill="1" applyBorder="1" applyAlignment="1">
      <alignment horizontal="right"/>
    </xf>
    <xf numFmtId="0" fontId="5" fillId="4" borderId="0" xfId="2" applyFont="1" applyFill="1" applyBorder="1" applyAlignment="1">
      <alignment horizontal="center"/>
    </xf>
    <xf numFmtId="0" fontId="5" fillId="4" borderId="0" xfId="2" applyFont="1" applyFill="1" applyBorder="1" applyAlignment="1">
      <alignment horizontal="right" wrapText="1"/>
    </xf>
    <xf numFmtId="0" fontId="5" fillId="4" borderId="0" xfId="3" applyNumberFormat="1" applyFont="1" applyFill="1" applyBorder="1" applyAlignment="1" applyProtection="1">
      <alignment horizontal="center" wrapText="1"/>
    </xf>
    <xf numFmtId="0" fontId="5" fillId="4" borderId="24" xfId="2" applyFont="1" applyFill="1" applyBorder="1" applyAlignment="1">
      <alignment horizontal="center" wrapText="1"/>
    </xf>
    <xf numFmtId="0" fontId="5" fillId="4" borderId="0" xfId="2" applyFont="1" applyFill="1" applyBorder="1" applyAlignment="1">
      <alignment horizontal="center" wrapText="1"/>
    </xf>
    <xf numFmtId="0" fontId="5" fillId="2" borderId="4" xfId="2" applyFont="1" applyFill="1" applyBorder="1" applyAlignment="1">
      <alignment horizontal="center" wrapText="1"/>
    </xf>
    <xf numFmtId="0" fontId="7" fillId="2" borderId="4" xfId="2" applyFont="1" applyFill="1" applyBorder="1" applyAlignment="1">
      <alignment horizontal="center"/>
    </xf>
    <xf numFmtId="0" fontId="1" fillId="2" borderId="4" xfId="2" applyFill="1" applyBorder="1" applyAlignment="1">
      <alignment horizontal="center"/>
    </xf>
    <xf numFmtId="0" fontId="5" fillId="8" borderId="7" xfId="2" applyFont="1" applyFill="1" applyBorder="1" applyAlignment="1">
      <alignment horizontal="left" vertical="top" wrapText="1"/>
    </xf>
    <xf numFmtId="0" fontId="14" fillId="7" borderId="7" xfId="2" applyFont="1" applyFill="1" applyBorder="1" applyAlignment="1">
      <alignment horizontal="left" vertical="top" wrapText="1"/>
    </xf>
    <xf numFmtId="0" fontId="5" fillId="2" borderId="7" xfId="2" applyFont="1" applyFill="1" applyBorder="1" applyAlignment="1">
      <alignment horizontal="right" vertical="top"/>
    </xf>
    <xf numFmtId="0" fontId="21" fillId="13" borderId="7" xfId="0" applyFont="1" applyFill="1" applyBorder="1" applyAlignment="1">
      <alignment horizontal="center"/>
    </xf>
    <xf numFmtId="0" fontId="21" fillId="13" borderId="28" xfId="0" applyFont="1" applyFill="1" applyBorder="1" applyAlignment="1">
      <alignment horizontal="center"/>
    </xf>
    <xf numFmtId="0" fontId="18" fillId="13" borderId="7" xfId="2" applyFont="1" applyFill="1" applyBorder="1" applyAlignment="1">
      <alignment horizontal="center" vertical="top"/>
    </xf>
    <xf numFmtId="167" fontId="19" fillId="2" borderId="19" xfId="2" applyNumberFormat="1" applyFont="1" applyFill="1" applyBorder="1" applyAlignment="1">
      <alignment horizontal="right" vertical="top"/>
    </xf>
    <xf numFmtId="167" fontId="19" fillId="2" borderId="20" xfId="2" applyNumberFormat="1" applyFont="1" applyFill="1" applyBorder="1" applyAlignment="1">
      <alignment horizontal="right" vertical="top"/>
    </xf>
  </cellXfs>
  <cellStyles count="4">
    <cellStyle name="Excel Built-in Normal" xfId="2"/>
    <cellStyle name="Excel Built-in Normal 1" xfId="3"/>
    <cellStyle name="Normal" xfId="0" builtinId="0"/>
    <cellStyle name="Separador de milhares" xfId="1" builtinId="3"/>
  </cellStyles>
  <dxfs count="0"/>
  <tableStyles count="0" defaultTableStyle="TableStyleMedium2" defaultPivotStyle="PivotStyleLight16"/>
  <colors>
    <mruColors>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2</xdr:col>
      <xdr:colOff>1988344</xdr:colOff>
      <xdr:row>2</xdr:row>
      <xdr:rowOff>0</xdr:rowOff>
    </xdr:to>
    <xdr:pic>
      <xdr:nvPicPr>
        <xdr:cNvPr id="2" name="Imagem 1" descr="PMPA.png"/>
        <xdr:cNvPicPr>
          <a:picLocks noChangeAspect="1"/>
        </xdr:cNvPicPr>
      </xdr:nvPicPr>
      <xdr:blipFill>
        <a:blip xmlns:r="http://schemas.openxmlformats.org/officeDocument/2006/relationships" r:embed="rId1"/>
        <a:stretch>
          <a:fillRect/>
        </a:stretch>
      </xdr:blipFill>
      <xdr:spPr>
        <a:xfrm flipV="1">
          <a:off x="0" y="0"/>
          <a:ext cx="3381375" cy="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cristina.lanna\AppData\Local\Microsoft\Windows\Temporary%20Internet%20Files\Content.IE5\589Q1QXK\ORCAMENTO%20LICITA&#199;&#195;O%20-%20MODIFICADA.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INTETICO_PAC_OBRA_3000"/>
      <sheetName val="BDI"/>
      <sheetName val="CRONOGRAMA"/>
      <sheetName val="CORREÇÃO DOS ITENS DIVERGENTES"/>
    </sheetNames>
    <sheetDataSet>
      <sheetData sheetId="0" refreshError="1"/>
      <sheetData sheetId="1" refreshError="1"/>
      <sheetData sheetId="2" refreshError="1"/>
      <sheetData sheetId="3" refreshError="1">
        <row r="13">
          <cell r="A13">
            <v>1001000</v>
          </cell>
          <cell r="B13" t="str">
            <v xml:space="preserve">73960/001 </v>
          </cell>
          <cell r="C13" t="str">
            <v>INSTAL/LIGACAO PROVISORIA ELETRICA BAIXA TENSAO P/CANT OBRA OBRA,M3-CHAVE 100A CARGA 3KWH,20CV EXCL FORN MEDIDOR</v>
          </cell>
          <cell r="D13" t="str">
            <v xml:space="preserve">UN </v>
          </cell>
          <cell r="E13">
            <v>1</v>
          </cell>
          <cell r="F13">
            <v>876.12</v>
          </cell>
          <cell r="G13">
            <v>777.09281396988445</v>
          </cell>
          <cell r="P13">
            <v>777.09281396988445</v>
          </cell>
        </row>
        <row r="14">
          <cell r="A14">
            <v>1002000</v>
          </cell>
          <cell r="B14" t="str">
            <v xml:space="preserve">73992/001 </v>
          </cell>
          <cell r="C14" t="str">
            <v>LOCACAO CONVENCIONAL DE OBRA, ATRAVÉS DE GABARITO DE TABUAS CORRIDAS PONTALETADAS A CADA 1,50M</v>
          </cell>
          <cell r="D14" t="str">
            <v xml:space="preserve">M2 </v>
          </cell>
          <cell r="E14">
            <v>1197.46</v>
          </cell>
          <cell r="F14">
            <v>5.03</v>
          </cell>
          <cell r="G14">
            <v>4.4614628752551235</v>
          </cell>
          <cell r="P14">
            <v>4.4614628752551235</v>
          </cell>
        </row>
        <row r="15">
          <cell r="A15">
            <v>1003000</v>
          </cell>
          <cell r="B15" t="str">
            <v xml:space="preserve">74220/001 </v>
          </cell>
          <cell r="C15" t="str">
            <v>TAPUME DE CHAPA DE MADEIRA COMPENSADA (6MM) - PINTURA A CAL H=2,20M</v>
          </cell>
          <cell r="D15" t="str">
            <v xml:space="preserve">M2 </v>
          </cell>
          <cell r="E15">
            <v>420</v>
          </cell>
          <cell r="F15">
            <v>28.37</v>
          </cell>
          <cell r="G15">
            <v>25.163360193039335</v>
          </cell>
          <cell r="P15">
            <v>25.163360193039335</v>
          </cell>
        </row>
        <row r="16">
          <cell r="A16">
            <v>1004000</v>
          </cell>
          <cell r="B16">
            <v>73960</v>
          </cell>
          <cell r="C16" t="str">
            <v>LIGACAO PROVISORIA AGUA C/SANITARIO</v>
          </cell>
          <cell r="D16" t="str">
            <v>UN</v>
          </cell>
          <cell r="E16">
            <v>1</v>
          </cell>
          <cell r="F16">
            <v>933.9</v>
          </cell>
          <cell r="G16">
            <v>828.34198393653276</v>
          </cell>
          <cell r="P16">
            <v>828.34198393653276</v>
          </cell>
        </row>
        <row r="17">
          <cell r="A17">
            <v>1005000</v>
          </cell>
          <cell r="B17">
            <v>75680</v>
          </cell>
          <cell r="C17" t="str">
            <v>LOCAÇÃO DE PRAÇA</v>
          </cell>
          <cell r="D17" t="str">
            <v xml:space="preserve">M2 </v>
          </cell>
          <cell r="E17">
            <v>1802.54</v>
          </cell>
          <cell r="F17">
            <v>0.33</v>
          </cell>
          <cell r="G17">
            <v>0.29270034768075365</v>
          </cell>
          <cell r="P17">
            <v>0.29270034768075365</v>
          </cell>
        </row>
        <row r="18">
          <cell r="A18">
            <v>1006000</v>
          </cell>
          <cell r="B18" t="str">
            <v>74209/001</v>
          </cell>
          <cell r="C18" t="str">
            <v>PLACA DE OBRA EM CHAPA DE AÇO GALVANIZADO</v>
          </cell>
          <cell r="D18" t="str">
            <v>M2</v>
          </cell>
          <cell r="E18">
            <v>8.8000000000000007</v>
          </cell>
          <cell r="F18">
            <v>213.54</v>
          </cell>
          <cell r="G18">
            <v>189.40373407196401</v>
          </cell>
          <cell r="P18">
            <v>189.40373407196401</v>
          </cell>
        </row>
        <row r="19">
          <cell r="A19">
            <v>2000000</v>
          </cell>
          <cell r="C19" t="str">
            <v>INSTALAÇÕES DO CANTEIRO / SERVIÇOS GERAIS</v>
          </cell>
          <cell r="G19">
            <v>0</v>
          </cell>
        </row>
        <row r="20">
          <cell r="A20">
            <v>2001000</v>
          </cell>
          <cell r="B20">
            <v>72209</v>
          </cell>
          <cell r="C20" t="str">
            <v>CARGA MANUAL E REMOCAO E ENTULHO COM TRANSPORTE ATE 1KM</v>
          </cell>
          <cell r="D20" t="str">
            <v xml:space="preserve">M3 </v>
          </cell>
          <cell r="E20">
            <v>240</v>
          </cell>
          <cell r="F20">
            <v>8.7200000000000006</v>
          </cell>
          <cell r="G20">
            <v>7.734384944776278</v>
          </cell>
          <cell r="P20">
            <v>7.734384944776278</v>
          </cell>
        </row>
        <row r="21">
          <cell r="A21">
            <v>2002000</v>
          </cell>
          <cell r="B21" t="str">
            <v xml:space="preserve">73948/016 </v>
          </cell>
          <cell r="C21" t="str">
            <v>LIMPEZA MANUAL DO TERRENO (C/ RASPAGEM SUPERFICIAL)</v>
          </cell>
          <cell r="D21" t="str">
            <v xml:space="preserve">M2 </v>
          </cell>
          <cell r="E21">
            <v>3000</v>
          </cell>
          <cell r="F21">
            <v>1.52</v>
          </cell>
          <cell r="G21">
            <v>1.3481955408325621</v>
          </cell>
          <cell r="P21">
            <v>1.3481955408325621</v>
          </cell>
        </row>
        <row r="22">
          <cell r="A22">
            <v>2003000</v>
          </cell>
          <cell r="B22" t="str">
            <v xml:space="preserve">74242/001 </v>
          </cell>
          <cell r="C22" t="str">
            <v>BARRACAO DE OBRA EM TABUAS DE MADEIRA COM BANHEIRO, COBERTURA EM FIBROCIMENTO 4 MM, INCLUSO INSTALACOES HIDRO-SANITARIAS E ELETRICAS</v>
          </cell>
          <cell r="D22" t="str">
            <v xml:space="preserve">M2 </v>
          </cell>
          <cell r="E22">
            <v>50</v>
          </cell>
          <cell r="F22">
            <v>122.73</v>
          </cell>
          <cell r="G22">
            <v>122.18</v>
          </cell>
          <cell r="P22">
            <v>122.18</v>
          </cell>
        </row>
        <row r="23">
          <cell r="A23">
            <v>3000000</v>
          </cell>
          <cell r="C23" t="str">
            <v xml:space="preserve">MOVIMENTO TERRA </v>
          </cell>
          <cell r="G23">
            <v>0</v>
          </cell>
        </row>
        <row r="24">
          <cell r="A24">
            <v>3001000</v>
          </cell>
          <cell r="B24">
            <v>55835</v>
          </cell>
          <cell r="C24" t="str">
            <v>ATERRO INTERNO (EDIFICACOES) COMPACTADO MANUALMENTE</v>
          </cell>
          <cell r="D24" t="str">
            <v xml:space="preserve">M3 </v>
          </cell>
          <cell r="E24">
            <v>4.62</v>
          </cell>
          <cell r="F24">
            <v>21.4</v>
          </cell>
          <cell r="G24">
            <v>18.981174061721596</v>
          </cell>
          <cell r="P24">
            <v>18.981174061721596</v>
          </cell>
        </row>
        <row r="25">
          <cell r="A25">
            <v>3002000</v>
          </cell>
          <cell r="B25">
            <v>5626</v>
          </cell>
          <cell r="C25" t="str">
            <v>TRANSPORTE DE MATERIAL DE QUALQUER NATUREZA DMT &gt; 10 KM</v>
          </cell>
          <cell r="D25" t="str">
            <v xml:space="preserve">T/KM </v>
          </cell>
          <cell r="E25">
            <v>60.03</v>
          </cell>
          <cell r="F25">
            <v>0.57999999999999996</v>
          </cell>
          <cell r="G25">
            <v>0.51444303531768809</v>
          </cell>
          <cell r="P25">
            <v>0.51444303531768809</v>
          </cell>
        </row>
        <row r="26">
          <cell r="A26">
            <v>3003000</v>
          </cell>
          <cell r="B26" t="str">
            <v xml:space="preserve">74005/001 </v>
          </cell>
          <cell r="C26" t="str">
            <v>COMPACTACAO MECANICA, SEM CONTROLE DO GC (C/COMPACTADOR PLACA 400 KG)</v>
          </cell>
          <cell r="D26" t="str">
            <v xml:space="preserve">M3 </v>
          </cell>
          <cell r="E26">
            <v>4.62</v>
          </cell>
          <cell r="F26">
            <v>1.85</v>
          </cell>
          <cell r="G26">
            <v>1.6408958885133158</v>
          </cell>
          <cell r="P26">
            <v>1.6408958885133158</v>
          </cell>
        </row>
        <row r="27">
          <cell r="A27">
            <v>3004000</v>
          </cell>
          <cell r="B27" t="str">
            <v xml:space="preserve">74010/001 </v>
          </cell>
          <cell r="C27" t="str">
            <v>CARGA E DESCARGA MECANICA DE SOLO UTILIZANDO CAMINHAO BASCULANTE 5,0M3/11T E PA CARREGADEIRA SOBRE PNEUS * 105 HP * CAP. 1,72M3.</v>
          </cell>
          <cell r="D27" t="str">
            <v xml:space="preserve">M3 </v>
          </cell>
          <cell r="E27">
            <v>60.03</v>
          </cell>
          <cell r="F27">
            <v>0.89</v>
          </cell>
          <cell r="G27">
            <v>0.78940396798748702</v>
          </cell>
          <cell r="P27">
            <v>0.78940396798748702</v>
          </cell>
        </row>
        <row r="28">
          <cell r="A28">
            <v>3005000</v>
          </cell>
          <cell r="B28" t="str">
            <v xml:space="preserve">SI_3062 </v>
          </cell>
          <cell r="C28" t="str">
            <v>ESCAVACAO DE VALA NAO ESCORADA EM MATERIAL DE 1A CATEGORIA COM PROFUNDIDADE DE 1,5 ATE 3M COM RETROESCAVADEIRA 75HP, SEM ESGOTAMENTO.</v>
          </cell>
          <cell r="D28" t="str">
            <v xml:space="preserve">M3 </v>
          </cell>
          <cell r="E28">
            <v>64.650000000000006</v>
          </cell>
          <cell r="F28">
            <v>5.75</v>
          </cell>
          <cell r="G28">
            <v>5.1000818156494949</v>
          </cell>
          <cell r="P28">
            <v>5.1000818156494949</v>
          </cell>
        </row>
        <row r="29">
          <cell r="A29">
            <v>4000000</v>
          </cell>
          <cell r="C29" t="str">
            <v>INFRA-ESTRUTURA (BALDRAMES)</v>
          </cell>
          <cell r="G29">
            <v>0</v>
          </cell>
        </row>
        <row r="30">
          <cell r="A30">
            <v>4001000</v>
          </cell>
          <cell r="B30">
            <v>5651</v>
          </cell>
          <cell r="C30" t="str">
            <v>FORMA DE MADEIRA COMUM PARA FUNDACOES</v>
          </cell>
          <cell r="D30" t="str">
            <v xml:space="preserve">M2 </v>
          </cell>
          <cell r="E30">
            <v>312.72000000000003</v>
          </cell>
          <cell r="F30">
            <v>27.65</v>
          </cell>
          <cell r="G30">
            <v>24.524741252644962</v>
          </cell>
          <cell r="P30">
            <v>24.524741252644962</v>
          </cell>
        </row>
        <row r="31">
          <cell r="A31">
            <v>4002000</v>
          </cell>
          <cell r="B31">
            <v>72820</v>
          </cell>
          <cell r="C31" t="str">
            <v>CORTE E REPARO EM CABECA DE ESTACA</v>
          </cell>
          <cell r="D31" t="str">
            <v xml:space="preserve">UN </v>
          </cell>
          <cell r="E31">
            <v>0</v>
          </cell>
          <cell r="F31">
            <v>17.63</v>
          </cell>
          <cell r="G31">
            <v>15.637294332156625</v>
          </cell>
          <cell r="P31">
            <v>15.637294332156625</v>
          </cell>
        </row>
        <row r="32">
          <cell r="A32">
            <v>4003000</v>
          </cell>
          <cell r="B32" t="str">
            <v xml:space="preserve">73942/002 </v>
          </cell>
          <cell r="C32" t="str">
            <v>ARMACAO (FORN., CORTE, DOBRA E COLOC.) ACO CA-60 DIAM. 3,4 A 6,0MM.</v>
          </cell>
          <cell r="D32" t="str">
            <v xml:space="preserve">KG </v>
          </cell>
          <cell r="E32">
            <v>250.8</v>
          </cell>
          <cell r="F32">
            <v>7.26</v>
          </cell>
          <cell r="G32">
            <v>6.4394076489765792</v>
          </cell>
          <cell r="P32">
            <v>6.4394076489765792</v>
          </cell>
        </row>
        <row r="33">
          <cell r="A33">
            <v>4004000</v>
          </cell>
          <cell r="B33" t="str">
            <v xml:space="preserve">73964/001 </v>
          </cell>
          <cell r="C33" t="str">
            <v>REATERRO DE VALA/CAVA COMPACTADA A MACO EM CAMADAS DE 20CM</v>
          </cell>
          <cell r="D33" t="str">
            <v xml:space="preserve">M3 </v>
          </cell>
          <cell r="E33">
            <v>43.88</v>
          </cell>
          <cell r="F33">
            <v>18.350000000000001</v>
          </cell>
          <cell r="G33">
            <v>16.275913272550998</v>
          </cell>
          <cell r="P33">
            <v>16.275913272550998</v>
          </cell>
        </row>
        <row r="34">
          <cell r="A34">
            <v>4005000</v>
          </cell>
          <cell r="B34" t="str">
            <v xml:space="preserve">73965/010 </v>
          </cell>
          <cell r="C34" t="str">
            <v>ESCAVACAO MANUAL DE VALA EM MATERIAL DE 1A CATEGORIA ATE 1,5M EXCLUINDO ESGOTAMENTO / ESCORAMENTO</v>
          </cell>
          <cell r="D34" t="str">
            <v xml:space="preserve">M3 </v>
          </cell>
          <cell r="E34">
            <v>65.77</v>
          </cell>
          <cell r="F34">
            <v>21.4</v>
          </cell>
          <cell r="G34">
            <v>18.981174061721596</v>
          </cell>
          <cell r="P34">
            <v>18.981174061721596</v>
          </cell>
        </row>
        <row r="35">
          <cell r="A35">
            <v>4006000</v>
          </cell>
          <cell r="B35" t="str">
            <v xml:space="preserve">73972/001 </v>
          </cell>
          <cell r="C35" t="str">
            <v>CONCRETO ESTRUTURAL FCK=25MPA, VIRADO EM BETONEIRA, NA OBRA, SEM LANÇAMENTO</v>
          </cell>
          <cell r="D35" t="str">
            <v xml:space="preserve">M3 </v>
          </cell>
          <cell r="E35">
            <v>16.510000000000002</v>
          </cell>
          <cell r="F35">
            <v>298.98</v>
          </cell>
          <cell r="G35">
            <v>265.18651499876279</v>
          </cell>
          <cell r="P35">
            <v>265.18651499876279</v>
          </cell>
        </row>
        <row r="36">
          <cell r="A36">
            <v>4007000</v>
          </cell>
          <cell r="B36" t="str">
            <v xml:space="preserve">74016/001 </v>
          </cell>
          <cell r="C36" t="str">
            <v>REGULARIZACAO E COMPACTACAO DE TERRENO, COM SOQUETE</v>
          </cell>
          <cell r="D36" t="str">
            <v xml:space="preserve">M2 </v>
          </cell>
          <cell r="E36">
            <v>99.03</v>
          </cell>
          <cell r="F36">
            <v>2.0099999999999998</v>
          </cell>
          <cell r="G36">
            <v>1.7828112086009535</v>
          </cell>
          <cell r="P36">
            <v>1.7828112086009535</v>
          </cell>
        </row>
        <row r="37">
          <cell r="A37">
            <v>4008000</v>
          </cell>
          <cell r="B37" t="str">
            <v xml:space="preserve">74115/001. </v>
          </cell>
          <cell r="C37" t="str">
            <v>CONCRETO PARA LASTRO (INCLUSIVE FUNDO DOS BLOCOS)</v>
          </cell>
          <cell r="D37" t="str">
            <v xml:space="preserve">M3 </v>
          </cell>
          <cell r="E37">
            <v>4.95</v>
          </cell>
          <cell r="F37">
            <v>251.62</v>
          </cell>
          <cell r="G37">
            <v>223.17958025282189</v>
          </cell>
          <cell r="P37">
            <v>223.17958025282189</v>
          </cell>
        </row>
        <row r="38">
          <cell r="A38">
            <v>4009000</v>
          </cell>
          <cell r="B38" t="str">
            <v>74156/002</v>
          </cell>
          <cell r="C38" t="str">
            <v>ESTACA A TRADO(BROCA) D=25CM C/CONCRETO FCK=15MPA SEM AÇO MOLDADA IN LOCO</v>
          </cell>
          <cell r="D38" t="str">
            <v>M</v>
          </cell>
          <cell r="E38">
            <v>0</v>
          </cell>
          <cell r="F38">
            <v>28.96</v>
          </cell>
          <cell r="G38">
            <v>25.6866729358625</v>
          </cell>
          <cell r="P38">
            <v>25.6866729358625</v>
          </cell>
        </row>
        <row r="39">
          <cell r="A39">
            <v>4010000</v>
          </cell>
          <cell r="B39" t="str">
            <v xml:space="preserve">74157/001 </v>
          </cell>
          <cell r="C39" t="str">
            <v>LANÇAMENTO E ADENSAMENTO DE CONCRETO EM FUNDAÇÕES.</v>
          </cell>
          <cell r="D39" t="str">
            <v xml:space="preserve">M3 </v>
          </cell>
          <cell r="E39">
            <v>16.510000000000002</v>
          </cell>
          <cell r="F39">
            <v>49.5</v>
          </cell>
          <cell r="G39">
            <v>43.905052152113043</v>
          </cell>
          <cell r="P39">
            <v>43.905052152113043</v>
          </cell>
        </row>
        <row r="40">
          <cell r="A40">
            <v>4011000</v>
          </cell>
          <cell r="B40" t="str">
            <v xml:space="preserve">74207/001 </v>
          </cell>
          <cell r="C40" t="str">
            <v>TRANSPORTE DE MATERIAL - BOTA-FORA, D.M.T = 10,0 KM</v>
          </cell>
          <cell r="D40" t="str">
            <v xml:space="preserve">M3 </v>
          </cell>
          <cell r="E40">
            <v>21.89</v>
          </cell>
          <cell r="F40">
            <v>10.28</v>
          </cell>
          <cell r="G40">
            <v>9.1180593156307488</v>
          </cell>
          <cell r="P40">
            <v>9.1180593156307488</v>
          </cell>
        </row>
        <row r="41">
          <cell r="A41">
            <v>4012000</v>
          </cell>
          <cell r="B41" t="str">
            <v xml:space="preserve">74254/002 </v>
          </cell>
          <cell r="C41" t="str">
            <v>ARMACAO (FORNECIMENTO, CORTE, DOBRA E COLOCAÇÃO) ACO CA-50, DIAM. 6,3 (1/4 ) À 12,5MM(1/2 )</v>
          </cell>
          <cell r="D41" t="str">
            <v xml:space="preserve">KG </v>
          </cell>
          <cell r="E41">
            <v>1170.3</v>
          </cell>
          <cell r="F41">
            <v>6.67</v>
          </cell>
          <cell r="G41">
            <v>5.9160949061534138</v>
          </cell>
          <cell r="P41">
            <v>5.9160949061534138</v>
          </cell>
        </row>
        <row r="42">
          <cell r="A42">
            <v>4100000</v>
          </cell>
          <cell r="B42" t="str">
            <v>FUN-001</v>
          </cell>
          <cell r="C42" t="str">
            <v>INFRAESTRUTURA - FUNDAÇÕES PROFUNDAS</v>
          </cell>
          <cell r="G42">
            <v>0</v>
          </cell>
        </row>
        <row r="43">
          <cell r="A43">
            <v>4100001</v>
          </cell>
          <cell r="B43" t="str">
            <v>FUN-STR-005</v>
          </cell>
          <cell r="C43" t="str">
            <v>MOBILIZAÇÃO E DESMOBILIZAÇÃO DE EQUIPAMENTO PARA ESTACAS TIPO STRAUSS DMT ATÉ 50KM</v>
          </cell>
          <cell r="D43" t="str">
            <v xml:space="preserve">UN </v>
          </cell>
          <cell r="E43">
            <v>1</v>
          </cell>
          <cell r="F43">
            <v>2100</v>
          </cell>
          <cell r="G43">
            <v>1862.6385761502502</v>
          </cell>
          <cell r="P43">
            <v>1862.6385761502502</v>
          </cell>
        </row>
        <row r="44">
          <cell r="A44">
            <v>4100002</v>
          </cell>
          <cell r="B44" t="str">
            <v>FUN-STR-010</v>
          </cell>
          <cell r="C44" t="str">
            <v>ESCAVAÇÃO E CONCRETAGEM DE ESTACA TIPO STRAUSS MOLDADA "IN LOCO" DN: 200/250MM</v>
          </cell>
          <cell r="D44" t="str">
            <v>M</v>
          </cell>
          <cell r="E44">
            <v>990</v>
          </cell>
          <cell r="F44">
            <v>35.64</v>
          </cell>
          <cell r="G44">
            <v>30.938803458183632</v>
          </cell>
          <cell r="P44">
            <v>30.938803458183632</v>
          </cell>
        </row>
        <row r="45">
          <cell r="A45">
            <v>4100003</v>
          </cell>
          <cell r="B45">
            <v>72820</v>
          </cell>
          <cell r="C45" t="str">
            <v>CORTE E REPARO EM CABECA DE ESTACA</v>
          </cell>
          <cell r="D45" t="str">
            <v xml:space="preserve">UN </v>
          </cell>
          <cell r="E45">
            <v>71</v>
          </cell>
          <cell r="F45">
            <v>17.63</v>
          </cell>
          <cell r="G45">
            <v>15.637294332156625</v>
          </cell>
          <cell r="P45">
            <v>15.637294332156625</v>
          </cell>
        </row>
        <row r="46">
          <cell r="A46">
            <v>4100004</v>
          </cell>
          <cell r="B46" t="str">
            <v xml:space="preserve">73965/010 </v>
          </cell>
          <cell r="C46" t="str">
            <v>ESCAVACAO MANUAL DE VALA EM MATERIAL DE 1A CATEGORIA ATE 1,5M EXCLUINDO ESGOTAMENTO / ESCORAMENTO (BLOCOS E BALDRAMES)</v>
          </cell>
          <cell r="D46" t="str">
            <v xml:space="preserve">M3 </v>
          </cell>
          <cell r="E46">
            <v>20.21</v>
          </cell>
          <cell r="F46">
            <v>21.4</v>
          </cell>
          <cell r="G46">
            <v>18.981174061721596</v>
          </cell>
          <cell r="P46">
            <v>18.981174061721596</v>
          </cell>
        </row>
        <row r="47">
          <cell r="A47">
            <v>4100005</v>
          </cell>
          <cell r="B47" t="str">
            <v xml:space="preserve">74254/002 </v>
          </cell>
          <cell r="C47" t="str">
            <v>ARMACAO (FORNECIMENTO, CORTE, DOBRA E COLOCAÇÃO) ACO CA-50, DIAM. 6,3 (1/4 ) À 12,5MM(1/2 )</v>
          </cell>
          <cell r="D47" t="str">
            <v xml:space="preserve">KG </v>
          </cell>
          <cell r="E47">
            <v>1657.85</v>
          </cell>
          <cell r="F47">
            <v>6.67</v>
          </cell>
          <cell r="G47">
            <v>5.9160949061534138</v>
          </cell>
          <cell r="P47">
            <v>5.9160949061534138</v>
          </cell>
        </row>
        <row r="48">
          <cell r="A48">
            <v>4100006</v>
          </cell>
          <cell r="B48" t="str">
            <v xml:space="preserve">74016/001 </v>
          </cell>
          <cell r="C48" t="str">
            <v>REGULARIZACAO E COMPACTACAO DE TERRENO, COM SOQUETE</v>
          </cell>
          <cell r="D48" t="str">
            <v xml:space="preserve">M2 </v>
          </cell>
          <cell r="E48">
            <v>37.659999999999997</v>
          </cell>
          <cell r="F48">
            <v>2.0099999999999998</v>
          </cell>
          <cell r="G48">
            <v>1.7828112086009535</v>
          </cell>
          <cell r="P48">
            <v>1.7828112086009535</v>
          </cell>
        </row>
        <row r="49">
          <cell r="A49">
            <v>4100007</v>
          </cell>
          <cell r="B49" t="str">
            <v xml:space="preserve">74115/001. </v>
          </cell>
          <cell r="C49" t="str">
            <v>CONCRETO PARA LASTRO (INCLUSIVE FUNDO DOS BLOCOS)</v>
          </cell>
          <cell r="D49" t="str">
            <v xml:space="preserve">M3 </v>
          </cell>
          <cell r="E49">
            <v>0.74</v>
          </cell>
          <cell r="F49">
            <v>251.62</v>
          </cell>
          <cell r="G49">
            <v>223.17958025282189</v>
          </cell>
          <cell r="P49">
            <v>223.17958025282189</v>
          </cell>
        </row>
        <row r="50">
          <cell r="A50">
            <v>4100008</v>
          </cell>
          <cell r="B50">
            <v>5651</v>
          </cell>
          <cell r="C50" t="str">
            <v>FORMA DE MADEIRA COMUM PARA FUNDACOES</v>
          </cell>
          <cell r="D50" t="str">
            <v xml:space="preserve">M2 </v>
          </cell>
          <cell r="E50">
            <v>59.36</v>
          </cell>
          <cell r="F50">
            <v>27.65</v>
          </cell>
          <cell r="G50">
            <v>24.524741252644962</v>
          </cell>
          <cell r="P50">
            <v>24.524741252644962</v>
          </cell>
        </row>
        <row r="51">
          <cell r="A51">
            <v>4100009</v>
          </cell>
          <cell r="B51" t="str">
            <v xml:space="preserve">73972/001 </v>
          </cell>
          <cell r="C51" t="str">
            <v>CONCRETO ESTRUTURAL FCK=25MPA, VIRADO EM BETONEIRA, NA OBRA, SEM LANÇAMENTO</v>
          </cell>
          <cell r="D51" t="str">
            <v xml:space="preserve">M3 </v>
          </cell>
          <cell r="E51">
            <v>19.47</v>
          </cell>
          <cell r="F51">
            <v>298.98</v>
          </cell>
          <cell r="G51">
            <v>265.18651499876279</v>
          </cell>
          <cell r="P51">
            <v>265.18651499876279</v>
          </cell>
        </row>
        <row r="52">
          <cell r="A52">
            <v>4100010</v>
          </cell>
          <cell r="B52" t="str">
            <v xml:space="preserve">74157/001 </v>
          </cell>
          <cell r="C52" t="str">
            <v>LANÇAMENTO E ADENSAMENTO DE CONCRETO EM FUNDAÇÕES.</v>
          </cell>
          <cell r="D52" t="str">
            <v xml:space="preserve">M3 </v>
          </cell>
          <cell r="E52">
            <v>19.47</v>
          </cell>
          <cell r="F52">
            <v>49.5</v>
          </cell>
          <cell r="G52">
            <v>43.905052152113043</v>
          </cell>
          <cell r="P52">
            <v>43.905052152113043</v>
          </cell>
        </row>
        <row r="53">
          <cell r="A53">
            <v>4100011</v>
          </cell>
          <cell r="B53" t="str">
            <v>SON-SPT-015</v>
          </cell>
          <cell r="C53" t="str">
            <v>MOBILIZAÇÃO E DESMOBILIZAÇÃO DE EQUIPAMENTO PARA SONDAGEM A PERCUSSÃO D=4"</v>
          </cell>
          <cell r="D53" t="str">
            <v xml:space="preserve">UN </v>
          </cell>
          <cell r="E53">
            <v>1</v>
          </cell>
          <cell r="F53">
            <v>660</v>
          </cell>
          <cell r="G53">
            <v>585.40069536150725</v>
          </cell>
          <cell r="P53">
            <v>585.40069536150725</v>
          </cell>
        </row>
        <row r="54">
          <cell r="A54">
            <v>4100012</v>
          </cell>
          <cell r="B54" t="str">
            <v>SON-SPT-020</v>
          </cell>
          <cell r="C54" t="str">
            <v>SONDAGEM A PERCUSSÃO D=4" COM MEDIDA DE SPT</v>
          </cell>
          <cell r="D54" t="str">
            <v>M</v>
          </cell>
          <cell r="E54">
            <v>30</v>
          </cell>
          <cell r="F54">
            <v>65</v>
          </cell>
          <cell r="G54">
            <v>57.653098785602985</v>
          </cell>
          <cell r="P54">
            <v>57.653098785602985</v>
          </cell>
        </row>
        <row r="55">
          <cell r="A55">
            <v>5000000</v>
          </cell>
          <cell r="C55" t="str">
            <v>SUPER-ESTRUTURA</v>
          </cell>
          <cell r="G55">
            <v>0</v>
          </cell>
        </row>
        <row r="56">
          <cell r="A56">
            <v>5001000</v>
          </cell>
          <cell r="B56">
            <v>68328</v>
          </cell>
          <cell r="C56" t="str">
            <v>JUNTA DE DILATACAO COM ISOPOR 10 MM</v>
          </cell>
          <cell r="D56" t="str">
            <v xml:space="preserve">M2 </v>
          </cell>
          <cell r="E56">
            <v>41.85</v>
          </cell>
          <cell r="F56">
            <v>7.31</v>
          </cell>
          <cell r="G56">
            <v>6.4837561865039657</v>
          </cell>
          <cell r="P56">
            <v>6.4837561865039657</v>
          </cell>
        </row>
        <row r="57">
          <cell r="A57">
            <v>5002000</v>
          </cell>
          <cell r="B57" t="str">
            <v xml:space="preserve">73942/002 </v>
          </cell>
          <cell r="C57" t="str">
            <v>ARMACAO (FORN., CORTE, DOBRA E COLOC.) ACO CA-60 DIAM. 3,4 A 6,0MM.</v>
          </cell>
          <cell r="D57" t="str">
            <v xml:space="preserve">KG </v>
          </cell>
          <cell r="E57">
            <v>654.70000000000005</v>
          </cell>
          <cell r="F57">
            <v>7.26</v>
          </cell>
          <cell r="G57">
            <v>6.4394076489765792</v>
          </cell>
          <cell r="P57">
            <v>6.4394076489765792</v>
          </cell>
        </row>
        <row r="58">
          <cell r="A58">
            <v>5003000</v>
          </cell>
          <cell r="B58" t="str">
            <v xml:space="preserve">73972/001 </v>
          </cell>
          <cell r="C58" t="str">
            <v>CONCRETO ESTRUTURAL FCK=25MPA, VIRADO EM BETONEIRA, NA OBRA, SEM LANÇAMENTO</v>
          </cell>
          <cell r="D58" t="str">
            <v xml:space="preserve">M3 </v>
          </cell>
          <cell r="E58">
            <v>99.98</v>
          </cell>
          <cell r="F58">
            <v>298.98</v>
          </cell>
          <cell r="G58">
            <v>265.18651499876279</v>
          </cell>
          <cell r="P58">
            <v>265.18651499876279</v>
          </cell>
        </row>
        <row r="59">
          <cell r="A59">
            <v>5004000</v>
          </cell>
          <cell r="B59" t="str">
            <v xml:space="preserve">74075/002 </v>
          </cell>
          <cell r="C59" t="str">
            <v>FORMA MADEIRA COMP RESINADA 12MM P/ESTRUTURA REAPROV 3 VEZES - CORTE/ MONTAGEM/ESCORAMENTO/DESFORMA</v>
          </cell>
          <cell r="D59" t="str">
            <v xml:space="preserve">M2 </v>
          </cell>
          <cell r="E59">
            <v>1145.01</v>
          </cell>
          <cell r="F59">
            <v>50.52</v>
          </cell>
          <cell r="G59">
            <v>44.809762317671741</v>
          </cell>
          <cell r="P59">
            <v>44.809762317671741</v>
          </cell>
        </row>
        <row r="60">
          <cell r="A60">
            <v>5005000</v>
          </cell>
          <cell r="B60" t="str">
            <v xml:space="preserve">74157/002 </v>
          </cell>
          <cell r="C60" t="str">
            <v>LANCAMENTO MANUAL DE CONCRETO EM ESTRUTURAS, INCL. VIBRACAO</v>
          </cell>
          <cell r="D60" t="str">
            <v xml:space="preserve">M3 </v>
          </cell>
          <cell r="E60">
            <v>99.98</v>
          </cell>
          <cell r="F60">
            <v>95.79</v>
          </cell>
          <cell r="G60">
            <v>84.962928194967844</v>
          </cell>
          <cell r="P60">
            <v>84.962928194967844</v>
          </cell>
        </row>
        <row r="61">
          <cell r="A61">
            <v>5006000</v>
          </cell>
          <cell r="B61" t="str">
            <v xml:space="preserve">74254/001 </v>
          </cell>
          <cell r="C61" t="str">
            <v>ARMACAO (FORNECIMENTO, CORTE, DOBRA E COLOCAÇÃO) ACO CA-50 DIAM. 16,0 (5/8 ) À 25,0MM (1 )</v>
          </cell>
          <cell r="D61" t="str">
            <v xml:space="preserve">KG </v>
          </cell>
          <cell r="E61">
            <v>1609.3999999999999</v>
          </cell>
          <cell r="F61">
            <v>5.98</v>
          </cell>
          <cell r="G61">
            <v>5.3040850882754746</v>
          </cell>
          <cell r="P61">
            <v>5.3040850882754746</v>
          </cell>
        </row>
        <row r="62">
          <cell r="A62">
            <v>5007000</v>
          </cell>
          <cell r="B62" t="str">
            <v xml:space="preserve">74254/002 </v>
          </cell>
          <cell r="C62" t="str">
            <v>ARMACAO (FORNECIMENTO, CORTE, DOBRA E COLOCAÇÃO) ACO CA-50, DIAM. 6,3 (1/4 ) À 12,5MM(1/2 )</v>
          </cell>
          <cell r="D62" t="str">
            <v xml:space="preserve">KG </v>
          </cell>
          <cell r="E62">
            <v>9570.7000000000007</v>
          </cell>
          <cell r="F62">
            <v>6.67</v>
          </cell>
          <cell r="G62">
            <v>5.9160949061534138</v>
          </cell>
          <cell r="P62">
            <v>5.9160949061534138</v>
          </cell>
        </row>
        <row r="63">
          <cell r="A63">
            <v>5008000</v>
          </cell>
          <cell r="B63" t="str">
            <v xml:space="preserve">CPS.73970/001A </v>
          </cell>
          <cell r="C63" t="str">
            <v>ESTRUTURA METALICA EM ACO ASTM A570 GR36</v>
          </cell>
          <cell r="D63" t="str">
            <v xml:space="preserve">KG </v>
          </cell>
          <cell r="E63">
            <v>11796.82</v>
          </cell>
          <cell r="F63">
            <v>6.9</v>
          </cell>
          <cell r="G63">
            <v>6.1200981787793944</v>
          </cell>
          <cell r="P63">
            <v>6.1200981787793944</v>
          </cell>
        </row>
        <row r="64">
          <cell r="A64">
            <v>5009000</v>
          </cell>
          <cell r="B64">
            <v>75689</v>
          </cell>
          <cell r="C64" t="str">
            <v xml:space="preserve"> FORNECIMENTO E COLOCACAO DE TELA SOLDADA Q196 (3,11 KG/M²)</v>
          </cell>
          <cell r="D64" t="str">
            <v xml:space="preserve">M2 </v>
          </cell>
          <cell r="E64">
            <v>578.21</v>
          </cell>
          <cell r="F64">
            <v>13.63</v>
          </cell>
          <cell r="G64">
            <v>12.089411329965673</v>
          </cell>
          <cell r="P64">
            <v>12.089411329965673</v>
          </cell>
        </row>
        <row r="65">
          <cell r="A65">
            <v>5010000</v>
          </cell>
          <cell r="B65" t="str">
            <v>PMPA-COT</v>
          </cell>
          <cell r="C65" t="str">
            <v>ENCHIMENTO DE LAJE COM EPS - ISOPOR</v>
          </cell>
          <cell r="D65" t="str">
            <v xml:space="preserve">M3 </v>
          </cell>
          <cell r="E65">
            <v>58.39</v>
          </cell>
          <cell r="F65">
            <v>256.12</v>
          </cell>
          <cell r="G65">
            <v>227.17094863028672</v>
          </cell>
          <cell r="P65">
            <v>227.17094863028672</v>
          </cell>
        </row>
        <row r="66">
          <cell r="A66">
            <v>6000000</v>
          </cell>
          <cell r="C66" t="str">
            <v>PAREDES E PAINEIS</v>
          </cell>
          <cell r="G66">
            <v>0</v>
          </cell>
          <cell r="P66">
            <v>0</v>
          </cell>
        </row>
        <row r="67">
          <cell r="A67">
            <v>6001000</v>
          </cell>
          <cell r="B67" t="str">
            <v>73935/001</v>
          </cell>
          <cell r="C67" t="str">
            <v>ALVENARIA EM TIJOLO CERAMICO FURADO 10X20X20CM, 1/2 VEZ, ASSENTADO EM ARGAMASSA TRACO 1:4 (CIMENTO E AREIA),E=1 CM</v>
          </cell>
          <cell r="D67" t="str">
            <v>M2</v>
          </cell>
          <cell r="E67">
            <v>1148.8499999999999</v>
          </cell>
          <cell r="F67">
            <v>27.85</v>
          </cell>
          <cell r="G67">
            <v>24.702135402754511</v>
          </cell>
          <cell r="P67">
            <v>24.702135402754511</v>
          </cell>
        </row>
        <row r="68">
          <cell r="A68">
            <v>6002000</v>
          </cell>
          <cell r="B68" t="str">
            <v xml:space="preserve">73988/002 </v>
          </cell>
          <cell r="C68" t="str">
            <v>ENCUNHAMENTO (APERTO) DE ALVENARIA 1/2 VEZ COM ARGAMASSA TRACO 1:0,5:8 (CIMENTO, CAL E AREIA), ESPESSURA 3CM</v>
          </cell>
          <cell r="D68" t="str">
            <v xml:space="preserve">M </v>
          </cell>
          <cell r="E68">
            <v>254.8</v>
          </cell>
          <cell r="F68">
            <v>3.14</v>
          </cell>
          <cell r="G68">
            <v>2.785088156719898</v>
          </cell>
          <cell r="P68">
            <v>2.785088156719898</v>
          </cell>
        </row>
        <row r="69">
          <cell r="A69">
            <v>6003000</v>
          </cell>
          <cell r="B69" t="str">
            <v xml:space="preserve">74200/001 </v>
          </cell>
          <cell r="C69" t="str">
            <v>VERGA 10X10CM EM CONCRETO PRÉ-MOLDADO FCK=20MPA (PREPARO COM BETONEIRA) AÇO CA60, BITOLA FINA, INCLUSIVE FORMAS TABUA 3A.</v>
          </cell>
          <cell r="D69" t="str">
            <v xml:space="preserve">M </v>
          </cell>
          <cell r="E69">
            <v>123.58</v>
          </cell>
          <cell r="F69">
            <v>11.04</v>
          </cell>
          <cell r="G69">
            <v>9.7921570860470286</v>
          </cell>
          <cell r="P69">
            <v>9.7921570860470286</v>
          </cell>
        </row>
        <row r="70">
          <cell r="A70">
            <v>6004000</v>
          </cell>
          <cell r="B70">
            <v>72244</v>
          </cell>
          <cell r="C70" t="str">
            <v>DIVISORIA EM GRANITO E=2CM POLIDO DUAS FACES INCLUSIVE ASSENTAMENTO( CINZA ANDORINHA )</v>
          </cell>
          <cell r="D70" t="str">
            <v xml:space="preserve">M2 </v>
          </cell>
          <cell r="E70">
            <v>17.2</v>
          </cell>
          <cell r="F70">
            <v>187.03</v>
          </cell>
          <cell r="G70">
            <v>165.89013947494348</v>
          </cell>
          <cell r="P70">
            <v>165.89013947494348</v>
          </cell>
        </row>
        <row r="71">
          <cell r="A71">
            <v>6005000</v>
          </cell>
          <cell r="B71" t="str">
            <v xml:space="preserve">AGT.160909 </v>
          </cell>
          <cell r="C71" t="str">
            <v>FECHAM.LATERAL TELHA PINT.ELETROSTATICA #0,65 mm C/ ACESSÓRIOS</v>
          </cell>
          <cell r="D71" t="str">
            <v xml:space="preserve">M2 </v>
          </cell>
          <cell r="E71">
            <v>101.5</v>
          </cell>
          <cell r="F71">
            <v>33.090000000000003</v>
          </cell>
          <cell r="G71">
            <v>29.349862135624662</v>
          </cell>
          <cell r="P71">
            <v>29.349862135624662</v>
          </cell>
        </row>
        <row r="72">
          <cell r="A72">
            <v>6006000</v>
          </cell>
          <cell r="B72" t="str">
            <v>ALV- DRY-005</v>
          </cell>
          <cell r="C72" t="str">
            <v>PAREDE (DRY WALL) DE GESSO ACARTONADO SIMPLES INTERNA, ESPESSURA FINAL 100 mm, PÉ-DIREITO MÁXIMO 3,15 m</v>
          </cell>
          <cell r="D72" t="str">
            <v xml:space="preserve">M2 </v>
          </cell>
          <cell r="E72">
            <v>77.650000000000006</v>
          </cell>
          <cell r="F72">
            <v>55</v>
          </cell>
          <cell r="G72">
            <v>48.783391280125599</v>
          </cell>
          <cell r="P72">
            <v>48.783391280125599</v>
          </cell>
        </row>
        <row r="73">
          <cell r="A73">
            <v>6007000</v>
          </cell>
          <cell r="B73" t="str">
            <v xml:space="preserve">AGS.110101 </v>
          </cell>
          <cell r="C73" t="str">
            <v>ALVENARIA ESTRUTURAL (10x20x40) ARMADA</v>
          </cell>
          <cell r="D73" t="str">
            <v xml:space="preserve">M2 </v>
          </cell>
          <cell r="E73">
            <v>4.79</v>
          </cell>
          <cell r="F73">
            <v>50.17</v>
          </cell>
          <cell r="G73">
            <v>44.499322554980026</v>
          </cell>
        </row>
        <row r="74">
          <cell r="A74">
            <v>7000000</v>
          </cell>
          <cell r="C74" t="str">
            <v>ESQUADRIAS DE MADEIRA</v>
          </cell>
          <cell r="G74">
            <v>0</v>
          </cell>
        </row>
        <row r="75">
          <cell r="A75">
            <v>7001000</v>
          </cell>
          <cell r="B75" t="str">
            <v xml:space="preserve">COT.270807 </v>
          </cell>
          <cell r="C75" t="str">
            <v>PLACA DE ACO INOXIDAVEL NR.20 ESP. 1MM PROTEÇÃO PORTA (90 X 40 CM)</v>
          </cell>
          <cell r="D75" t="str">
            <v xml:space="preserve">UN </v>
          </cell>
          <cell r="E75">
            <v>2</v>
          </cell>
          <cell r="F75">
            <v>508.18</v>
          </cell>
          <cell r="G75">
            <v>450.74079601334961</v>
          </cell>
          <cell r="P75">
            <v>450.74079601334961</v>
          </cell>
        </row>
        <row r="76">
          <cell r="A76">
            <v>7002000</v>
          </cell>
          <cell r="B76" t="str">
            <v xml:space="preserve">CPS.74139/001 </v>
          </cell>
          <cell r="C76" t="str">
            <v>PM1 - 0,9 X 2,1 M MELANIMÍCO COR CINZA 1 ABRIR -CAMARIN , SANITÁRIO MASC. E FEMININO, ADM. ALMOXARIFADO, COPA, SALA MULTIUSO, CRAS RECEPÇÃO, ATENDIMENTO, COORDENAÇÃO  E MULTIUSO.</v>
          </cell>
          <cell r="D76" t="str">
            <v xml:space="preserve">UN </v>
          </cell>
          <cell r="E76">
            <v>10</v>
          </cell>
          <cell r="F76">
            <v>359.4</v>
          </cell>
          <cell r="G76">
            <v>318.7772877468571</v>
          </cell>
          <cell r="P76">
            <v>318.7772877468571</v>
          </cell>
        </row>
        <row r="77">
          <cell r="A77">
            <v>7003000</v>
          </cell>
          <cell r="B77" t="str">
            <v xml:space="preserve">CPS.74139/002 </v>
          </cell>
          <cell r="C77" t="str">
            <v>PM2 - 0,9 X 2,1 M MELANIMÍCO COR CINZA 1 ABRIR - SANITÁRIO PNE</v>
          </cell>
          <cell r="D77" t="str">
            <v xml:space="preserve">UN </v>
          </cell>
          <cell r="E77">
            <v>2</v>
          </cell>
          <cell r="F77">
            <v>359.4</v>
          </cell>
          <cell r="G77">
            <v>318.7772877468571</v>
          </cell>
          <cell r="P77">
            <v>318.7772877468571</v>
          </cell>
        </row>
        <row r="78">
          <cell r="A78">
            <v>7004000</v>
          </cell>
          <cell r="B78" t="str">
            <v xml:space="preserve">CPS.74139/004 </v>
          </cell>
          <cell r="C78" t="str">
            <v>PD1 - 0,6 X 1,6 M MELANIMÍCO COR CINZA 1 ABRIR - SANITÁRIO MASCULINO E FEMININO</v>
          </cell>
          <cell r="D78" t="str">
            <v xml:space="preserve">UN </v>
          </cell>
          <cell r="E78">
            <v>6</v>
          </cell>
          <cell r="F78">
            <v>242.16</v>
          </cell>
          <cell r="G78">
            <v>214.78883695264028</v>
          </cell>
          <cell r="P78">
            <v>214.78883695264028</v>
          </cell>
        </row>
        <row r="79">
          <cell r="A79">
            <v>7005000</v>
          </cell>
          <cell r="B79" t="str">
            <v>COT-73906</v>
          </cell>
          <cell r="C79" t="str">
            <v>PC1-2,2X2,1PORTA DE MADEIRA  DE CORRER -DEPOSITO CINETEATRO</v>
          </cell>
          <cell r="D79" t="str">
            <v xml:space="preserve">UN </v>
          </cell>
          <cell r="E79">
            <v>1</v>
          </cell>
          <cell r="F79">
            <v>900</v>
          </cell>
          <cell r="G79">
            <v>798.27367549296434</v>
          </cell>
          <cell r="P79">
            <v>798.27367549296434</v>
          </cell>
        </row>
        <row r="80">
          <cell r="A80">
            <v>7006000</v>
          </cell>
          <cell r="B80" t="str">
            <v xml:space="preserve">CPS.74139/002A </v>
          </cell>
          <cell r="C80" t="str">
            <v>PM4 - 0,7 X 2,1 M MELANIMÍCO COR CINZA 1 ABRIR - SANITÁRIO PNE</v>
          </cell>
          <cell r="D80" t="str">
            <v xml:space="preserve">UN </v>
          </cell>
          <cell r="E80">
            <v>1</v>
          </cell>
          <cell r="F80">
            <v>305.17</v>
          </cell>
          <cell r="G80">
            <v>270.67686394465329</v>
          </cell>
        </row>
        <row r="81">
          <cell r="A81">
            <v>8000000</v>
          </cell>
          <cell r="C81" t="str">
            <v>FERRAGENS</v>
          </cell>
        </row>
        <row r="82">
          <cell r="A82">
            <v>8001000</v>
          </cell>
          <cell r="B82" t="str">
            <v xml:space="preserve">74070/001A </v>
          </cell>
          <cell r="C82" t="str">
            <v xml:space="preserve">FECHADURAS COM CILINDRO PARA PORTAS EXTERNAS, PARA USO EM AMBIENTES DE TRÁFEGO INTENSO, CONFORME NORMA ABNT NBR 14913 </v>
          </cell>
          <cell r="D82" t="str">
            <v xml:space="preserve">UN </v>
          </cell>
          <cell r="E82">
            <v>18</v>
          </cell>
          <cell r="F82">
            <v>132.78</v>
          </cell>
          <cell r="G82">
            <v>117.77197625772868</v>
          </cell>
          <cell r="P82">
            <v>117.77197625772868</v>
          </cell>
        </row>
        <row r="83">
          <cell r="A83">
            <v>8002000</v>
          </cell>
          <cell r="B83" t="str">
            <v>ACE-BARRA-020</v>
          </cell>
          <cell r="C83" t="str">
            <v>PUXADOR DE AÇO INOX ESCOVADO PARA PORTA DIAM. 35MM 0,50M</v>
          </cell>
          <cell r="D83" t="str">
            <v xml:space="preserve">UN </v>
          </cell>
          <cell r="E83">
            <v>2</v>
          </cell>
          <cell r="F83">
            <v>165.15</v>
          </cell>
          <cell r="G83">
            <v>146.48321945295896</v>
          </cell>
          <cell r="P83">
            <v>146.48321945295896</v>
          </cell>
        </row>
        <row r="84">
          <cell r="A84">
            <v>8003000</v>
          </cell>
          <cell r="B84" t="str">
            <v xml:space="preserve">COT.74070/001B </v>
          </cell>
          <cell r="C84" t="str">
            <v>BARRA ANTI-PANICO NT1 MAÇANETA E CILINDRO</v>
          </cell>
          <cell r="D84" t="str">
            <v xml:space="preserve">UN </v>
          </cell>
          <cell r="E84">
            <v>2</v>
          </cell>
          <cell r="F84">
            <v>1257.54</v>
          </cell>
          <cell r="G84">
            <v>1115.4011976438028</v>
          </cell>
          <cell r="P84">
            <v>1115.4011976438028</v>
          </cell>
        </row>
        <row r="85">
          <cell r="A85">
            <v>9000000</v>
          </cell>
          <cell r="C85" t="str">
            <v>ESQUADRIAS DE ALUMINIO</v>
          </cell>
          <cell r="G85">
            <v>0</v>
          </cell>
        </row>
        <row r="86">
          <cell r="A86">
            <v>9001000</v>
          </cell>
          <cell r="B86" t="str">
            <v xml:space="preserve">CPS.73809/001A </v>
          </cell>
          <cell r="C86" t="str">
            <v>JA1 - 7,54 X 2,2 M ALUMÍNIO ANODIZADO COR NATURAL MAXIM AR - BIBLIOTECA, SALA MULTIUSO</v>
          </cell>
          <cell r="D86" t="str">
            <v xml:space="preserve">M2 </v>
          </cell>
          <cell r="E86">
            <v>49.76</v>
          </cell>
          <cell r="F86">
            <v>417.98</v>
          </cell>
          <cell r="G86">
            <v>370.73603431394366</v>
          </cell>
          <cell r="P86">
            <v>370.73603431394366</v>
          </cell>
        </row>
        <row r="87">
          <cell r="A87">
            <v>9002000</v>
          </cell>
          <cell r="B87" t="str">
            <v xml:space="preserve">CPS.73809/002A </v>
          </cell>
          <cell r="C87" t="str">
            <v xml:space="preserve">JA2 - 6,56 X 2,2 M ALUMÍNIO ANODIZADO COR NATURAL CORRER - BIBLIOTECA </v>
          </cell>
          <cell r="D87" t="str">
            <v xml:space="preserve">M2 </v>
          </cell>
          <cell r="E87">
            <v>14.43</v>
          </cell>
          <cell r="F87">
            <v>389.65</v>
          </cell>
          <cell r="G87">
            <v>345.60815295092618</v>
          </cell>
          <cell r="P87">
            <v>345.60815295092618</v>
          </cell>
        </row>
        <row r="88">
          <cell r="A88">
            <v>9003000</v>
          </cell>
          <cell r="B88" t="str">
            <v xml:space="preserve">CPS.73809/003A </v>
          </cell>
          <cell r="C88" t="str">
            <v xml:space="preserve">JA3 - 6,91 X 2,2 M ALUMÍNIO ANODIZADO COR NATURAL CORRER - TELECENTRO </v>
          </cell>
          <cell r="D88" t="str">
            <v xml:space="preserve">M2 </v>
          </cell>
          <cell r="E88">
            <v>15.2</v>
          </cell>
          <cell r="F88">
            <v>389.65</v>
          </cell>
          <cell r="G88">
            <v>345.60815295092618</v>
          </cell>
          <cell r="P88">
            <v>345.60815295092618</v>
          </cell>
        </row>
        <row r="89">
          <cell r="A89">
            <v>9004000</v>
          </cell>
          <cell r="B89" t="str">
            <v xml:space="preserve">CPS.73809/004A </v>
          </cell>
          <cell r="C89" t="str">
            <v xml:space="preserve">JA4 - 7,85 X 2,2 M ALUMÍNIO ANODIZADO COR NATURAL CORRER - TELECENTRO </v>
          </cell>
          <cell r="D89" t="str">
            <v xml:space="preserve">M2 </v>
          </cell>
          <cell r="E89">
            <v>17.27</v>
          </cell>
          <cell r="F89">
            <v>389.65</v>
          </cell>
          <cell r="G89">
            <v>345.60815295092618</v>
          </cell>
          <cell r="P89">
            <v>345.60815295092618</v>
          </cell>
        </row>
        <row r="90">
          <cell r="A90">
            <v>9005000</v>
          </cell>
          <cell r="B90" t="str">
            <v xml:space="preserve">CPS.73809/005A </v>
          </cell>
          <cell r="C90" t="str">
            <v>JA5 - 7,85 X 2,2 M ALUMÍNIO ANODIZADO COR NATURAL CORRER - CABINE DE PROJEÇÃO</v>
          </cell>
          <cell r="D90" t="str">
            <v xml:space="preserve">M2 </v>
          </cell>
          <cell r="E90">
            <v>17.27</v>
          </cell>
          <cell r="F90">
            <v>389.65</v>
          </cell>
          <cell r="G90">
            <v>345.60815295092618</v>
          </cell>
          <cell r="P90">
            <v>345.60815295092618</v>
          </cell>
        </row>
        <row r="91">
          <cell r="A91">
            <v>9006000</v>
          </cell>
          <cell r="B91" t="str">
            <v xml:space="preserve">CPS.73809/006A </v>
          </cell>
          <cell r="C91" t="str">
            <v xml:space="preserve">JA6 - 3,85 X 2,2 M ALUMÍNIO ANODIZADO COR NATURAL MAXIM AR - CRAS RECEPÇÃO, CRAS COORDENAÇÃO </v>
          </cell>
          <cell r="D91" t="str">
            <v xml:space="preserve">M2 </v>
          </cell>
          <cell r="E91">
            <v>16.940000000000001</v>
          </cell>
          <cell r="F91">
            <v>419.98</v>
          </cell>
          <cell r="G91">
            <v>372.50997581503913</v>
          </cell>
          <cell r="P91">
            <v>372.50997581503913</v>
          </cell>
        </row>
        <row r="92">
          <cell r="A92">
            <v>9007000</v>
          </cell>
          <cell r="B92" t="str">
            <v xml:space="preserve">CPS.73809/007A </v>
          </cell>
          <cell r="C92" t="str">
            <v xml:space="preserve">JA7 - 1,77 X 2,2 M ALUMÍNIO ANODIZADO COR NATURAL MAXIM AR - CRAS ATENDIMENTO, CRAS COORDENAÇÃO </v>
          </cell>
          <cell r="D92" t="str">
            <v xml:space="preserve">M2 </v>
          </cell>
          <cell r="E92">
            <v>7.79</v>
          </cell>
          <cell r="F92">
            <v>419.98</v>
          </cell>
          <cell r="G92">
            <v>372.50997581503913</v>
          </cell>
          <cell r="P92">
            <v>372.50997581503913</v>
          </cell>
        </row>
        <row r="93">
          <cell r="A93">
            <v>9008000</v>
          </cell>
          <cell r="B93" t="str">
            <v xml:space="preserve">CPS.73809/008A </v>
          </cell>
          <cell r="C93" t="str">
            <v xml:space="preserve">JA8 - 1,2 X 0,6 M ALUMÍNIO ANODIZADO COR NATURAL MAXIMAR - CABINE DE PROJEÇÃO </v>
          </cell>
          <cell r="D93" t="str">
            <v xml:space="preserve">M2 </v>
          </cell>
          <cell r="E93">
            <v>0.72</v>
          </cell>
          <cell r="F93">
            <v>419.98</v>
          </cell>
          <cell r="G93">
            <v>372.50997581503913</v>
          </cell>
          <cell r="P93">
            <v>372.50997581503913</v>
          </cell>
        </row>
        <row r="94">
          <cell r="A94">
            <v>9009000</v>
          </cell>
          <cell r="B94" t="str">
            <v xml:space="preserve">CPS.74071/002A </v>
          </cell>
          <cell r="C94" t="str">
            <v xml:space="preserve">PORTA  (VENEZIANA) - 0,6 X 1,6 M ALUMÍNIO ANODIZADO COR NATURAL FIXA - GINÁSIO </v>
          </cell>
          <cell r="D94" t="str">
            <v xml:space="preserve">M2 </v>
          </cell>
          <cell r="E94">
            <v>3.84</v>
          </cell>
          <cell r="F94">
            <v>419.98</v>
          </cell>
          <cell r="G94">
            <v>372.50997581503913</v>
          </cell>
          <cell r="P94">
            <v>372.50997581503913</v>
          </cell>
        </row>
        <row r="95">
          <cell r="A95">
            <v>9010000</v>
          </cell>
          <cell r="B95" t="str">
            <v xml:space="preserve">CPS.74071/003A </v>
          </cell>
          <cell r="C95" t="str">
            <v xml:space="preserve">PA1 - 0,9 X 2,1 M ALUMÍNIO ANODIZADO COR NATURAL 2 ARBIR - TELECENTRO, BIBLIOTECA </v>
          </cell>
          <cell r="D95" t="str">
            <v xml:space="preserve">M2 </v>
          </cell>
          <cell r="E95">
            <v>3.78</v>
          </cell>
          <cell r="F95">
            <v>448.89</v>
          </cell>
          <cell r="G95">
            <v>398.15230021337419</v>
          </cell>
          <cell r="P95">
            <v>398.15230021337419</v>
          </cell>
        </row>
        <row r="96">
          <cell r="A96">
            <v>9011000</v>
          </cell>
          <cell r="B96" t="str">
            <v xml:space="preserve">CPS.73809/008A </v>
          </cell>
          <cell r="C96" t="str">
            <v xml:space="preserve">JA9 - 0,6 X 0,6 M ALUMÍNIO ANODIZADO COR NATURAL MAXIMAR - CABINE DE PROJEÇÃO </v>
          </cell>
          <cell r="D96" t="str">
            <v xml:space="preserve">M2 </v>
          </cell>
          <cell r="E96">
            <v>0.72</v>
          </cell>
          <cell r="F96">
            <v>419.98</v>
          </cell>
          <cell r="G96">
            <v>372.50997581503913</v>
          </cell>
          <cell r="P96">
            <v>372.50997581503913</v>
          </cell>
        </row>
        <row r="97">
          <cell r="A97">
            <v>10000000</v>
          </cell>
          <cell r="C97" t="str">
            <v>ESQUADRIAS METÁLICAS</v>
          </cell>
          <cell r="G97">
            <v>0</v>
          </cell>
        </row>
        <row r="98">
          <cell r="A98">
            <v>10002000</v>
          </cell>
          <cell r="B98" t="str">
            <v>COT.CULTURA06</v>
          </cell>
          <cell r="C98" t="str">
            <v>PF2-PORTAS ACÚSTICAS 50DB, METÁLICAS, 2 FOLHAS, 2.00M X 2.20M, COM ACABAMENTO PARA PINTURA, COM BARRAS ANTI-PÂNICO</v>
          </cell>
          <cell r="D98" t="str">
            <v xml:space="preserve">UN </v>
          </cell>
          <cell r="E98">
            <v>1</v>
          </cell>
          <cell r="F98">
            <v>6989.23</v>
          </cell>
          <cell r="G98">
            <v>6199.242578850768</v>
          </cell>
          <cell r="P98">
            <v>6199.242578850768</v>
          </cell>
        </row>
        <row r="99">
          <cell r="A99">
            <v>10003000</v>
          </cell>
          <cell r="B99" t="str">
            <v>COT.CULTURA07</v>
          </cell>
          <cell r="C99" t="str">
            <v>PF1-PORTAS ACÚSTICAS 50DB, METÁLICAS, 1 FOLHAS, 1.00M X 2.10M, COM ACABAMENTO PARA PINTURA, COM BARRA ANTI-PÂNICO</v>
          </cell>
          <cell r="D99" t="str">
            <v xml:space="preserve">UN </v>
          </cell>
          <cell r="E99">
            <v>2</v>
          </cell>
          <cell r="F99">
            <v>3494.62</v>
          </cell>
          <cell r="G99">
            <v>3099.6257242791366</v>
          </cell>
          <cell r="P99">
            <v>3099.6257242791366</v>
          </cell>
        </row>
        <row r="100">
          <cell r="A100">
            <v>11000000</v>
          </cell>
          <cell r="C100" t="str">
            <v>VIDROS</v>
          </cell>
          <cell r="G100">
            <v>0</v>
          </cell>
        </row>
        <row r="101">
          <cell r="A101">
            <v>11001000</v>
          </cell>
          <cell r="B101" t="str">
            <v xml:space="preserve">CPS.72118A </v>
          </cell>
          <cell r="C101" t="str">
            <v>VIDRO LISO INCOLOR, ESPESSURA 6MM (FORNECIMENTO E COLOCAÇÃO)</v>
          </cell>
          <cell r="D101" t="str">
            <v xml:space="preserve">M2 </v>
          </cell>
          <cell r="E101">
            <v>143.16999999999999</v>
          </cell>
          <cell r="F101">
            <v>109.34</v>
          </cell>
          <cell r="G101">
            <v>96.981381864889698</v>
          </cell>
        </row>
        <row r="102">
          <cell r="A102">
            <v>12000000</v>
          </cell>
          <cell r="C102" t="str">
            <v xml:space="preserve">COBERTURA </v>
          </cell>
          <cell r="G102">
            <v>0</v>
          </cell>
        </row>
        <row r="103">
          <cell r="A103">
            <v>12001000</v>
          </cell>
          <cell r="B103">
            <v>72081</v>
          </cell>
          <cell r="C103" t="str">
            <v>ESTRUTURA DE MADEIRA DE LEI 1A SERRADA NAO APARELHADA, PARA TELHAS ONDULADAS, VAOS ATE 7M</v>
          </cell>
          <cell r="D103" t="str">
            <v xml:space="preserve">M2 </v>
          </cell>
          <cell r="E103">
            <v>583.20000000000005</v>
          </cell>
          <cell r="F103">
            <v>46.94</v>
          </cell>
          <cell r="G103">
            <v>41.634407030710832</v>
          </cell>
        </row>
        <row r="104">
          <cell r="A104">
            <v>12002000</v>
          </cell>
          <cell r="B104">
            <v>72105</v>
          </cell>
          <cell r="C104" t="str">
            <v>CALHA EM CHAPA DE ACO GALVANIZADO N.24, DESENVOLVIMENTO 50CM</v>
          </cell>
          <cell r="D104" t="str">
            <v xml:space="preserve">M </v>
          </cell>
          <cell r="E104">
            <v>197</v>
          </cell>
          <cell r="F104">
            <v>34.08</v>
          </cell>
          <cell r="G104">
            <v>30.227963178666919</v>
          </cell>
          <cell r="P104">
            <v>30.227963178666919</v>
          </cell>
        </row>
        <row r="105">
          <cell r="A105">
            <v>12003000</v>
          </cell>
          <cell r="B105">
            <v>72108</v>
          </cell>
          <cell r="C105" t="str">
            <v>RUFO EM CHAPA DE ACO GALVANIZADO N.24, DESENVOLVIMENTO 33CM</v>
          </cell>
          <cell r="D105" t="str">
            <v xml:space="preserve">M </v>
          </cell>
          <cell r="E105">
            <v>100.6</v>
          </cell>
          <cell r="F105">
            <v>28</v>
          </cell>
          <cell r="G105">
            <v>24.835181015336669</v>
          </cell>
          <cell r="P105">
            <v>24.835181015336669</v>
          </cell>
        </row>
        <row r="106">
          <cell r="A106">
            <v>12004000</v>
          </cell>
          <cell r="B106" t="str">
            <v xml:space="preserve">74045/001 </v>
          </cell>
          <cell r="C106" t="str">
            <v>CUMEEIRA UNIVERSAL PARA TELHA DE FIBROCIMENTO ONDULADA ESPESSURA 6 MM, INCLUSO JUNTAS DE VEDACAO E ACESSORIOS DE FIXACAO</v>
          </cell>
          <cell r="D106" t="str">
            <v xml:space="preserve">M </v>
          </cell>
          <cell r="E106">
            <v>72</v>
          </cell>
          <cell r="F106">
            <v>55.94</v>
          </cell>
          <cell r="G106">
            <v>49.617143785640472</v>
          </cell>
          <cell r="P106">
            <v>49.617143785640472</v>
          </cell>
        </row>
        <row r="107">
          <cell r="A107">
            <v>12005000</v>
          </cell>
          <cell r="B107" t="str">
            <v xml:space="preserve">74088/001 </v>
          </cell>
          <cell r="C107" t="str">
            <v>TELHAMENTO COM TELHA DE FIBROCIMENTO ONDULADA, ESPESSURA 6MM, INCLUSO JUNTAS DE VEDACAO E ACESSORIOS DE FIXACAO</v>
          </cell>
          <cell r="D107" t="str">
            <v xml:space="preserve">M2 </v>
          </cell>
          <cell r="E107">
            <v>583.20000000000005</v>
          </cell>
          <cell r="F107">
            <v>16.09</v>
          </cell>
          <cell r="G107">
            <v>14.271359376313107</v>
          </cell>
          <cell r="P107">
            <v>14.271359376313107</v>
          </cell>
        </row>
        <row r="108">
          <cell r="A108">
            <v>12006000</v>
          </cell>
          <cell r="B108" t="str">
            <v xml:space="preserve">AGS.160911 </v>
          </cell>
          <cell r="C108" t="str">
            <v>COB.C/TELHA TRAPEZOIDAL TRANSLÚCIDA 1,5 MM C/ ACESSÓRIOS</v>
          </cell>
          <cell r="D108" t="str">
            <v xml:space="preserve">M2 </v>
          </cell>
          <cell r="E108">
            <v>7.85</v>
          </cell>
          <cell r="F108">
            <v>28.74</v>
          </cell>
          <cell r="G108">
            <v>25.491539370741997</v>
          </cell>
        </row>
        <row r="109">
          <cell r="A109">
            <v>12007000</v>
          </cell>
          <cell r="B109" t="str">
            <v xml:space="preserve">AGT.160964 </v>
          </cell>
          <cell r="C109" t="str">
            <v>CUMEEIRA P/TELHA GALVANIZADA TRAPEZOIDAL 0,5 MM</v>
          </cell>
          <cell r="D109" t="str">
            <v xml:space="preserve">ML </v>
          </cell>
          <cell r="E109">
            <v>24.3</v>
          </cell>
          <cell r="F109">
            <v>27.33</v>
          </cell>
          <cell r="G109">
            <v>24.240910612469683</v>
          </cell>
          <cell r="P109">
            <v>24.240910612469683</v>
          </cell>
        </row>
        <row r="110">
          <cell r="A110">
            <v>12008000</v>
          </cell>
          <cell r="B110" t="str">
            <v xml:space="preserve">AGT.160967 </v>
          </cell>
          <cell r="C110" t="str">
            <v>COBERTURA C/TELHA CHAPA GALV. TRAP.05 mm PRÉ-PINTADA NA COR AZUL C/ACESSORIOS</v>
          </cell>
          <cell r="D110" t="str">
            <v xml:space="preserve">M2 </v>
          </cell>
          <cell r="E110">
            <v>410.67</v>
          </cell>
          <cell r="F110">
            <v>41.85</v>
          </cell>
          <cell r="G110">
            <v>37.119725910422844</v>
          </cell>
          <cell r="P110">
            <v>37.119725910422844</v>
          </cell>
        </row>
        <row r="111">
          <cell r="A111">
            <v>13000000</v>
          </cell>
          <cell r="C111" t="str">
            <v xml:space="preserve">IMPERMEABILIZAÇÃO </v>
          </cell>
          <cell r="G111">
            <v>0</v>
          </cell>
        </row>
        <row r="112">
          <cell r="A112">
            <v>13001000</v>
          </cell>
          <cell r="B112" t="str">
            <v xml:space="preserve"> 73971/001 </v>
          </cell>
          <cell r="C112" t="str">
            <v xml:space="preserve"> IMPERMEABILIZACAO COM MANTA ASFALTICA 4MM   (LAJE DA CAIXA DE ÁGUA)</v>
          </cell>
          <cell r="D112" t="str">
            <v xml:space="preserve">M2 </v>
          </cell>
          <cell r="E112">
            <v>23.2</v>
          </cell>
          <cell r="F112">
            <v>31.62</v>
          </cell>
          <cell r="G112">
            <v>28.046015132319482</v>
          </cell>
          <cell r="P112">
            <v>28.046015132319482</v>
          </cell>
        </row>
        <row r="113">
          <cell r="A113">
            <v>13002000</v>
          </cell>
          <cell r="B113">
            <v>73635</v>
          </cell>
          <cell r="C113" t="str">
            <v xml:space="preserve"> PROTECAO MECANICA COM ARGAMASSA TRACO 1:3 (CIMENTO E AREIA), ESPESSURA 2 CM(LAJE DA CAIXA DE ÁGUA)</v>
          </cell>
          <cell r="D113" t="str">
            <v xml:space="preserve">M2 </v>
          </cell>
          <cell r="E113">
            <v>23.2</v>
          </cell>
          <cell r="F113">
            <v>10.18</v>
          </cell>
          <cell r="G113">
            <v>9.0293622405759741</v>
          </cell>
          <cell r="P113">
            <v>9.0293622405759741</v>
          </cell>
        </row>
        <row r="114">
          <cell r="A114">
            <v>13003000</v>
          </cell>
          <cell r="B114" t="str">
            <v xml:space="preserve">74106/001 </v>
          </cell>
          <cell r="C114" t="str">
            <v>IMPERMEABILIZACAO COM TINTA BETUMINOSA EM FUNDACOES, BALDRAMES E MUROS DE ARRIMO, DUAS DEMAOS</v>
          </cell>
          <cell r="D114" t="str">
            <v xml:space="preserve">M2 </v>
          </cell>
          <cell r="E114">
            <v>319.38</v>
          </cell>
          <cell r="F114">
            <v>4.5999999999999996</v>
          </cell>
          <cell r="G114">
            <v>4.0800654525195954</v>
          </cell>
          <cell r="P114">
            <v>4.0800654525195954</v>
          </cell>
        </row>
        <row r="115">
          <cell r="A115">
            <v>13004000</v>
          </cell>
          <cell r="B115" t="str">
            <v>73920/001</v>
          </cell>
          <cell r="C115" t="str">
            <v>REGULARIZACAO DE PISO/BASE EM ARGAMASSA TRACO 1:3 (CIMENTO E AREIA), ESPESSURA 2,0CM, PREPARO MANUAL</v>
          </cell>
          <cell r="D115" t="str">
            <v>M2</v>
          </cell>
          <cell r="E115">
            <v>16</v>
          </cell>
          <cell r="F115">
            <v>9.85</v>
          </cell>
          <cell r="G115">
            <v>8.7366618928952207</v>
          </cell>
          <cell r="P115">
            <v>8.7366618928952207</v>
          </cell>
        </row>
        <row r="116">
          <cell r="A116">
            <v>14000000</v>
          </cell>
          <cell r="C116" t="str">
            <v>REVESTIMENTO DE TETOS</v>
          </cell>
          <cell r="G116">
            <v>0</v>
          </cell>
        </row>
        <row r="117">
          <cell r="A117">
            <v>14001000</v>
          </cell>
          <cell r="B117" t="str">
            <v>74105/001</v>
          </cell>
          <cell r="C117" t="str">
            <v>REVESTIMENTO DE TETOS COM GESSO CORRIDO DISTORCIDO</v>
          </cell>
          <cell r="D117" t="str">
            <v>M2</v>
          </cell>
          <cell r="E117">
            <v>568.32000000000005</v>
          </cell>
          <cell r="F117">
            <v>8.6199999999999992</v>
          </cell>
          <cell r="G117">
            <v>7.6456878697215025</v>
          </cell>
          <cell r="P117">
            <v>7.6456878697215025</v>
          </cell>
        </row>
        <row r="118">
          <cell r="A118">
            <v>15000000</v>
          </cell>
          <cell r="C118" t="str">
            <v>REVESTIMENTO DE PAREDES</v>
          </cell>
          <cell r="G118">
            <v>0</v>
          </cell>
        </row>
        <row r="119">
          <cell r="A119">
            <v>15001000</v>
          </cell>
          <cell r="B119" t="str">
            <v xml:space="preserve">73927/009 </v>
          </cell>
          <cell r="C119" t="str">
            <v>EMBOCO PAULISTA (MASSA UNICA) TRACO 1:2:8 (CIMENTO, CAL E AREIA), ESPESSURA 2,0CM, PREPARO MANUAL (BASE PARA REVESTIMENTO CERÂMICO)</v>
          </cell>
          <cell r="D119" t="str">
            <v xml:space="preserve">M2 </v>
          </cell>
          <cell r="E119">
            <v>204.57999999999998</v>
          </cell>
          <cell r="F119">
            <v>15.41</v>
          </cell>
          <cell r="G119">
            <v>13.668219265940646</v>
          </cell>
          <cell r="P119">
            <v>13.668219265940646</v>
          </cell>
        </row>
        <row r="120">
          <cell r="A120">
            <v>15002000</v>
          </cell>
          <cell r="B120" t="str">
            <v xml:space="preserve">74161/001 </v>
          </cell>
          <cell r="C120" t="str">
            <v>CHAPISCO EM PAREDES TRACO 1:3 (CIMENTO E AREIA), ESPESSURA 0,5CM, PREPARO MECANICO</v>
          </cell>
          <cell r="D120" t="str">
            <v xml:space="preserve">M2 </v>
          </cell>
          <cell r="E120">
            <v>2410.39</v>
          </cell>
          <cell r="F120">
            <v>3.18</v>
          </cell>
          <cell r="G120">
            <v>2.8205669867418077</v>
          </cell>
          <cell r="P120">
            <v>2.8205669867418077</v>
          </cell>
        </row>
        <row r="121">
          <cell r="A121">
            <v>15003000</v>
          </cell>
          <cell r="B121" t="str">
            <v>23710/005</v>
          </cell>
          <cell r="C121" t="str">
            <v>REBOCO PAULISTA A-14 (1CALH:4ARMLC+100kgCI/M3)</v>
          </cell>
          <cell r="D121" t="str">
            <v xml:space="preserve">M2 </v>
          </cell>
          <cell r="E121">
            <v>2205.9</v>
          </cell>
          <cell r="F121">
            <v>14.91</v>
          </cell>
          <cell r="G121">
            <v>13.224733890666776</v>
          </cell>
          <cell r="P121">
            <v>13.224733890666776</v>
          </cell>
        </row>
        <row r="122">
          <cell r="A122">
            <v>15004000</v>
          </cell>
          <cell r="B122" t="str">
            <v>73912/002</v>
          </cell>
          <cell r="C122" t="str">
            <v>AZULEJOS CERÂMICO 20 X 20 CM NA COR BRANCO JUNTA RETA ATÉ AO TETO 3MM, LINHA RETRÔ ELIANE OU EQUIVALENTE TÉCNICO ATÉ 1,80M DE ALTURA</v>
          </cell>
          <cell r="D122" t="str">
            <v xml:space="preserve">M2 </v>
          </cell>
          <cell r="E122">
            <v>204.58</v>
          </cell>
          <cell r="F122">
            <v>29.34</v>
          </cell>
          <cell r="G122">
            <v>26.023721821070641</v>
          </cell>
          <cell r="P122">
            <v>26.023721821070641</v>
          </cell>
        </row>
        <row r="123">
          <cell r="A123">
            <v>15005000</v>
          </cell>
          <cell r="B123" t="str">
            <v>COMP.CULTURA04</v>
          </cell>
          <cell r="C123" t="str">
            <v>REVESTIMENTO DE PAREDES COM ENCHIMENTO EM ALVENARIA, CONFORME PLANTA BAIXA</v>
          </cell>
          <cell r="D123" t="str">
            <v>M2</v>
          </cell>
          <cell r="E123">
            <v>71.06</v>
          </cell>
          <cell r="F123">
            <v>38.450000000000003</v>
          </cell>
          <cell r="G123">
            <v>34.104025358560534</v>
          </cell>
          <cell r="P123">
            <v>34.104025358560534</v>
          </cell>
        </row>
        <row r="124">
          <cell r="A124">
            <v>15006000</v>
          </cell>
          <cell r="B124" t="str">
            <v>COT.CULTURA05</v>
          </cell>
          <cell r="C124" t="str">
            <v>FORRO ACÚSTICO ( SÓ ENTRE A CABINE E A ROTUNDA ) EM PAINEL ISOSOUD SOB A LAJE DE TETO</v>
          </cell>
          <cell r="D124" t="str">
            <v>M2</v>
          </cell>
          <cell r="E124">
            <v>84</v>
          </cell>
          <cell r="F124">
            <v>71.89</v>
          </cell>
          <cell r="G124">
            <v>63.764327256876904</v>
          </cell>
          <cell r="P124">
            <v>63.764327256876904</v>
          </cell>
        </row>
        <row r="125">
          <cell r="A125">
            <v>16000000</v>
          </cell>
          <cell r="C125" t="str">
            <v>REVESTIMENTO DE PISOS</v>
          </cell>
          <cell r="G125">
            <v>0</v>
          </cell>
        </row>
        <row r="126">
          <cell r="A126">
            <v>16001000</v>
          </cell>
          <cell r="B126">
            <v>68325</v>
          </cell>
          <cell r="C126" t="str">
            <v>PISO LAMINADO EM CONCRETO 20 MPA PREPARO MECANICO (QUADRA DE ESPORTES), ESPESSURA 7CM, INCLUSO SELANTE ELASTICO A BASE DE POLIURETANO</v>
          </cell>
          <cell r="D126" t="str">
            <v xml:space="preserve">M2 </v>
          </cell>
          <cell r="E126">
            <v>410.67</v>
          </cell>
          <cell r="F126">
            <v>33</v>
          </cell>
          <cell r="G126">
            <v>29.270034768075362</v>
          </cell>
          <cell r="P126">
            <v>29.270034768075362</v>
          </cell>
        </row>
        <row r="127">
          <cell r="A127">
            <v>16002000</v>
          </cell>
          <cell r="B127" t="str">
            <v xml:space="preserve">73920/001 </v>
          </cell>
          <cell r="C127" t="str">
            <v>REGULARIZACAO DE PISO/BASE EM ARGAMASSA TRACO 1:3 (CIMENTO E AREIA), ESPESSURA 2,0CM, PREPARO MANUAL</v>
          </cell>
          <cell r="D127" t="str">
            <v xml:space="preserve">M2 </v>
          </cell>
          <cell r="E127">
            <v>568.32000000000005</v>
          </cell>
          <cell r="F127">
            <v>9.85</v>
          </cell>
          <cell r="G127">
            <v>8.7366618928952207</v>
          </cell>
          <cell r="P127">
            <v>8.7366618928952207</v>
          </cell>
        </row>
        <row r="128">
          <cell r="A128">
            <v>16003000</v>
          </cell>
          <cell r="B128" t="str">
            <v xml:space="preserve">74005/001 </v>
          </cell>
          <cell r="C128" t="str">
            <v>COMPACTACAO MECANICA, SEM CONTROLE DO GC (C/COMPACTADOR PLACA 400 KG)</v>
          </cell>
          <cell r="D128" t="str">
            <v xml:space="preserve">M3 </v>
          </cell>
          <cell r="E128">
            <v>99.7</v>
          </cell>
          <cell r="F128">
            <v>1.85</v>
          </cell>
          <cell r="G128">
            <v>1.6408958885133158</v>
          </cell>
          <cell r="P128">
            <v>1.6408958885133158</v>
          </cell>
        </row>
        <row r="129">
          <cell r="A129">
            <v>16004000</v>
          </cell>
          <cell r="B129" t="str">
            <v xml:space="preserve">74115/001. </v>
          </cell>
          <cell r="C129" t="str">
            <v>CONCRETO PARA LASTRO</v>
          </cell>
          <cell r="D129" t="str">
            <v xml:space="preserve">M3 </v>
          </cell>
          <cell r="E129">
            <v>49.85</v>
          </cell>
          <cell r="F129">
            <v>251.62</v>
          </cell>
          <cell r="G129">
            <v>223.17958025282189</v>
          </cell>
          <cell r="P129">
            <v>223.17958025282189</v>
          </cell>
        </row>
        <row r="130">
          <cell r="A130">
            <v>16005000</v>
          </cell>
          <cell r="B130" t="str">
            <v xml:space="preserve">AGT.221101 </v>
          </cell>
          <cell r="C130" t="str">
            <v>PISO EM GRANITINA E=2CM E JUNTA PLASTICA 27MM</v>
          </cell>
          <cell r="D130" t="str">
            <v xml:space="preserve">M2 </v>
          </cell>
          <cell r="E130">
            <v>459.71000000000004</v>
          </cell>
          <cell r="F130">
            <v>41.05</v>
          </cell>
          <cell r="G130">
            <v>36.410149309984654</v>
          </cell>
          <cell r="P130">
            <v>36.410149309984654</v>
          </cell>
        </row>
        <row r="131">
          <cell r="A131">
            <v>16006000</v>
          </cell>
          <cell r="B131" t="str">
            <v xml:space="preserve">AGT.221102 </v>
          </cell>
          <cell r="C131" t="str">
            <v>RODAPE DE GRANITINA</v>
          </cell>
          <cell r="D131" t="str">
            <v xml:space="preserve">ML </v>
          </cell>
          <cell r="E131">
            <v>359.4</v>
          </cell>
          <cell r="F131">
            <v>4.6500000000000004</v>
          </cell>
          <cell r="G131">
            <v>4.1244139900469827</v>
          </cell>
          <cell r="P131">
            <v>4.1244139900469827</v>
          </cell>
        </row>
        <row r="132">
          <cell r="A132">
            <v>16007000</v>
          </cell>
          <cell r="B132" t="str">
            <v xml:space="preserve">COT.73829/001 </v>
          </cell>
          <cell r="C132" t="str">
            <v xml:space="preserve">PISO CERÂMICO 41X41, PEI 5, ANITIDERRAPANTE, COR BRANCO LINHA CARGO PLUS WHITE ELIANE OU EQUIVALENTE TÉCNICO </v>
          </cell>
          <cell r="D132" t="str">
            <v xml:space="preserve">M2 </v>
          </cell>
          <cell r="E132">
            <v>35.21</v>
          </cell>
          <cell r="F132">
            <v>49.21</v>
          </cell>
          <cell r="G132">
            <v>43.647830634454202</v>
          </cell>
          <cell r="P132">
            <v>43.647830634454202</v>
          </cell>
        </row>
        <row r="133">
          <cell r="A133">
            <v>16008000</v>
          </cell>
          <cell r="B133" t="str">
            <v xml:space="preserve">CPS.74111/002 </v>
          </cell>
          <cell r="C133" t="str">
            <v>SOLEIRA DE GRANITO CINZA ANDORINHA, ESPESSURA 2CM, ASSENTADA COM ARGAMASSA COLANTE</v>
          </cell>
          <cell r="D133" t="str">
            <v xml:space="preserve">M </v>
          </cell>
          <cell r="E133">
            <v>4</v>
          </cell>
          <cell r="F133">
            <v>42.69</v>
          </cell>
          <cell r="G133">
            <v>37.864781340882942</v>
          </cell>
          <cell r="P133">
            <v>37.864781340882942</v>
          </cell>
        </row>
        <row r="134">
          <cell r="A134">
            <v>16009000</v>
          </cell>
          <cell r="B134" t="str">
            <v>COT.CULTURA01</v>
          </cell>
          <cell r="C134" t="str">
            <v>PISO DO PALCO EM FRISOS MACHO-FÊMEA 0.10M X 0.024M, EM MADEIRA SECA E APARELHADA, SOBRE BARROTES DE MAÇARANDUBA 0.07M X 0.04M FIXADO NA LAJE COM PARAFUSOS E BUCHAS. OS ESPAÇOS VAZIOS SOBRE O PISO DEVE SER PREENCHIDO COM PLACAS DE ISOPOR</v>
          </cell>
          <cell r="D134" t="str">
            <v>M2</v>
          </cell>
          <cell r="E134">
            <v>94.93</v>
          </cell>
          <cell r="F134">
            <v>249.62</v>
          </cell>
          <cell r="G134">
            <v>221.40563875172643</v>
          </cell>
          <cell r="P134">
            <v>221.40563875172643</v>
          </cell>
        </row>
        <row r="135">
          <cell r="A135">
            <v>17000000</v>
          </cell>
          <cell r="C135" t="str">
            <v>PAVIMENTAÇÃO EXTERNA</v>
          </cell>
          <cell r="G135">
            <v>0</v>
          </cell>
        </row>
        <row r="136">
          <cell r="A136">
            <v>17001000</v>
          </cell>
          <cell r="B136">
            <v>73675</v>
          </cell>
          <cell r="C136" t="str">
            <v>PISO RUSTICO EM CONCRETO, ESPESSURA 7CM, COM JUNTAS EM MADEIRA</v>
          </cell>
          <cell r="D136" t="str">
            <v xml:space="preserve">M2 </v>
          </cell>
          <cell r="E136">
            <v>74.2</v>
          </cell>
          <cell r="F136">
            <v>40</v>
          </cell>
          <cell r="G136">
            <v>35.478830021909531</v>
          </cell>
          <cell r="P136">
            <v>35.478830021909531</v>
          </cell>
        </row>
        <row r="137">
          <cell r="A137">
            <v>17002000</v>
          </cell>
          <cell r="B137" t="str">
            <v xml:space="preserve">73789/002 </v>
          </cell>
          <cell r="C137" t="str">
            <v>MEIO-FIO DE CONCRETO MOLDADO NO LOCAL, USINADO 15 MPA, COM 0,30 M ALTURA X 0,15 M BASE, REJUNTE EM ARGAMASSA TRACO 1:3,5 (CIMENTO E AREIA)</v>
          </cell>
          <cell r="D137" t="str">
            <v xml:space="preserve">M </v>
          </cell>
          <cell r="E137">
            <v>109.41</v>
          </cell>
          <cell r="F137">
            <v>23.96</v>
          </cell>
          <cell r="G137">
            <v>21.251819183123807</v>
          </cell>
          <cell r="P137">
            <v>21.251819183123807</v>
          </cell>
        </row>
        <row r="138">
          <cell r="A138">
            <v>17003000</v>
          </cell>
          <cell r="B138" t="str">
            <v xml:space="preserve">74005/001 </v>
          </cell>
          <cell r="C138" t="str">
            <v>COMPACTACAO MECANICA, SEM CONTROLE DO GC (C/COMPACTADOR PLACA 400 KG)</v>
          </cell>
          <cell r="D138" t="str">
            <v xml:space="preserve">M3 </v>
          </cell>
          <cell r="E138">
            <v>139.19999999999999</v>
          </cell>
          <cell r="F138">
            <v>1.85</v>
          </cell>
          <cell r="G138">
            <v>1.6408958885133158</v>
          </cell>
          <cell r="P138">
            <v>1.6408958885133158</v>
          </cell>
        </row>
        <row r="139">
          <cell r="A139">
            <v>17004000</v>
          </cell>
          <cell r="B139" t="str">
            <v xml:space="preserve">74016/001 </v>
          </cell>
          <cell r="C139" t="str">
            <v>REGULARIZACAO E COMPACTACAO DE TERRENO, COM SOQUETE</v>
          </cell>
          <cell r="D139" t="str">
            <v xml:space="preserve">M2 </v>
          </cell>
          <cell r="E139">
            <v>1167.81</v>
          </cell>
          <cell r="F139">
            <v>2.0099999999999998</v>
          </cell>
          <cell r="G139">
            <v>1.7828112086009535</v>
          </cell>
          <cell r="P139">
            <v>1.7828112086009535</v>
          </cell>
        </row>
        <row r="140">
          <cell r="A140">
            <v>17005000</v>
          </cell>
          <cell r="B140" t="str">
            <v xml:space="preserve">74115/001 </v>
          </cell>
          <cell r="C140" t="str">
            <v>CONCRETO PARA LASTRO</v>
          </cell>
          <cell r="D140" t="str">
            <v xml:space="preserve">M3 </v>
          </cell>
          <cell r="E140">
            <v>26.25</v>
          </cell>
          <cell r="F140">
            <v>251.62</v>
          </cell>
          <cell r="G140">
            <v>223.17958025282189</v>
          </cell>
          <cell r="P140">
            <v>223.17958025282189</v>
          </cell>
        </row>
        <row r="141">
          <cell r="A141">
            <v>17006000</v>
          </cell>
          <cell r="B141" t="str">
            <v xml:space="preserve">CPA.68325 </v>
          </cell>
          <cell r="C141" t="str">
            <v>PISO LAMINADO EM CONCRETO 20 MPA PREPARO MECANICO (PISTA CAMINHADA), ESPESSURA 7CM, INCLUSO SELANTE ELASTICO A BASE DE POLIURETANO</v>
          </cell>
          <cell r="D141" t="str">
            <v xml:space="preserve">M2 </v>
          </cell>
          <cell r="E141">
            <v>525</v>
          </cell>
          <cell r="F141">
            <v>33</v>
          </cell>
          <cell r="G141">
            <v>29.270034768075362</v>
          </cell>
          <cell r="P141">
            <v>29.270034768075362</v>
          </cell>
        </row>
        <row r="142">
          <cell r="A142">
            <v>17007000</v>
          </cell>
          <cell r="B142" t="str">
            <v xml:space="preserve">CPS.72187 </v>
          </cell>
          <cell r="C142" t="str">
            <v>PISO TÁTIL ALERTA (AMARELO) (40X40X6)CM RESISTENCIA DE 35MPA , ASSENTADO COM ARGAMASSA TRACO 1:3 (CIMENTO E AREIA)</v>
          </cell>
          <cell r="D142" t="str">
            <v xml:space="preserve">M2 </v>
          </cell>
          <cell r="E142">
            <v>10.08</v>
          </cell>
          <cell r="F142">
            <v>99.33</v>
          </cell>
          <cell r="G142">
            <v>88.102804651906837</v>
          </cell>
          <cell r="P142">
            <v>88.102804651906837</v>
          </cell>
        </row>
        <row r="143">
          <cell r="A143">
            <v>17008000</v>
          </cell>
          <cell r="B143" t="str">
            <v xml:space="preserve">CPS.72187B </v>
          </cell>
          <cell r="C143" t="str">
            <v>PISO TÁTIL DIRECIONAL (VERMELHO) (40X40X6)CM RESISTENCIA DE 35MPA , ASSENTADO COM ARGAMASSA TRACO 1:3 (CIMENTO E AREIA)</v>
          </cell>
          <cell r="D143" t="str">
            <v xml:space="preserve">M2 </v>
          </cell>
          <cell r="E143">
            <v>60.46</v>
          </cell>
          <cell r="F143">
            <v>99.33</v>
          </cell>
          <cell r="G143">
            <v>88.102804651906837</v>
          </cell>
          <cell r="P143">
            <v>88.102804651906837</v>
          </cell>
        </row>
        <row r="144">
          <cell r="A144">
            <v>17009000</v>
          </cell>
          <cell r="B144" t="str">
            <v xml:space="preserve">CPS.73764/001 </v>
          </cell>
          <cell r="C144" t="str">
            <v>BLOCOS DE CONCRETO SERÃO DO TIPO “PAVER” MODELO PLATÔ 10X20 CM, DEVERÃO SER RESISTENTES À COMPREENSÃO MAIOR OU IGUAL A 35 MPA, COM ESPESSURA DE 6CM,” NA COR CINZA NATURAL.</v>
          </cell>
          <cell r="D144" t="str">
            <v xml:space="preserve">M2 </v>
          </cell>
          <cell r="E144">
            <v>498.07</v>
          </cell>
          <cell r="F144">
            <v>50.2</v>
          </cell>
          <cell r="G144">
            <v>44.525931677496459</v>
          </cell>
          <cell r="P144">
            <v>44.525931677496459</v>
          </cell>
        </row>
        <row r="145">
          <cell r="A145">
            <v>17100000</v>
          </cell>
          <cell r="C145" t="str">
            <v>PAVIMENTAÇÃO EXTERNA E PAISAGISMO COMPLEMENTARES</v>
          </cell>
          <cell r="G145">
            <v>0</v>
          </cell>
        </row>
        <row r="146">
          <cell r="A146">
            <v>17100001</v>
          </cell>
          <cell r="B146" t="str">
            <v xml:space="preserve">CPS.73764/001 </v>
          </cell>
          <cell r="C146" t="str">
            <v>BLOCOS DE CONCRETO SERÃO DO TIPO “PAVER” MODELO PLATÔ 10X20 CM, DEVERÃO SER RESISTENTES À COMPREENSÃO MAIOR OU IGUAL A 35 MPA, COM ESPESSURA DE 6CM,” NA COR CINZA NATURAL.</v>
          </cell>
          <cell r="D146" t="str">
            <v xml:space="preserve">M2 </v>
          </cell>
          <cell r="E146">
            <v>468.6</v>
          </cell>
          <cell r="F146">
            <v>50.2</v>
          </cell>
          <cell r="G146">
            <v>44.525931677496459</v>
          </cell>
          <cell r="P146">
            <v>44.525931677496459</v>
          </cell>
        </row>
        <row r="147">
          <cell r="A147">
            <v>17100002</v>
          </cell>
          <cell r="B147" t="str">
            <v xml:space="preserve">73789/002 </v>
          </cell>
          <cell r="C147" t="str">
            <v>MEIO-FIO DE CONCRETO MOLDADO NO LOCAL, USINADO 15 MPA, COM 0,30 M ALTURA X 0,15 M BASE, REJUNTE EM ARGAMASSA TRACO 1:3,5 (CIMENTO E AREIA)</v>
          </cell>
          <cell r="D147" t="str">
            <v xml:space="preserve">M </v>
          </cell>
          <cell r="E147">
            <v>66</v>
          </cell>
          <cell r="F147">
            <v>23.96</v>
          </cell>
          <cell r="G147">
            <v>21.251819183123807</v>
          </cell>
          <cell r="P147">
            <v>21.251819183123807</v>
          </cell>
        </row>
        <row r="148">
          <cell r="A148">
            <v>17100003</v>
          </cell>
          <cell r="B148" t="str">
            <v>73789/003</v>
          </cell>
          <cell r="C148" t="str">
            <v>MEIO-FIO DE CONCRETO MOLDADO NO LOCAL, USINADO 15 MPA, COM 0,30 M ALTURA X 0,15 M BASE, REJUNTE EM ARGAMASSA TRACO 1:3,5 (CIMENTO E AREIA) - REBAIXADO</v>
          </cell>
          <cell r="D148" t="str">
            <v xml:space="preserve">M </v>
          </cell>
          <cell r="E148">
            <v>68.8</v>
          </cell>
          <cell r="F148">
            <v>23.96</v>
          </cell>
          <cell r="G148">
            <v>21.251819183123807</v>
          </cell>
          <cell r="P148">
            <v>21.251819183123807</v>
          </cell>
        </row>
        <row r="149">
          <cell r="A149">
            <v>17100005</v>
          </cell>
          <cell r="B149" t="str">
            <v>73967/002</v>
          </cell>
          <cell r="C149" t="str">
            <v>PLANTIO DE MUDAS DE ARVORES COM ALTURA MAIOR QUE 2,00M</v>
          </cell>
          <cell r="D149" t="str">
            <v xml:space="preserve">UN </v>
          </cell>
          <cell r="E149">
            <v>76</v>
          </cell>
          <cell r="F149">
            <v>26.87</v>
          </cell>
          <cell r="G149">
            <v>23.832904067217726</v>
          </cell>
          <cell r="P149">
            <v>23.832904067217726</v>
          </cell>
        </row>
        <row r="150">
          <cell r="A150">
            <v>17100006</v>
          </cell>
          <cell r="B150" t="str">
            <v>73967/003</v>
          </cell>
          <cell r="C150" t="str">
            <v>PLANTIO DE ARBUSTOS INCLUSIVE MUDA (SANSÃO DO CAMPO) FECHAMENTO LATERAL</v>
          </cell>
          <cell r="D150" t="str">
            <v xml:space="preserve">UN </v>
          </cell>
          <cell r="E150">
            <v>247</v>
          </cell>
          <cell r="F150">
            <v>3.5554000000000001</v>
          </cell>
          <cell r="G150">
            <v>3.1535358064974286</v>
          </cell>
          <cell r="P150">
            <v>3.1535358064974286</v>
          </cell>
        </row>
        <row r="151">
          <cell r="A151">
            <v>18000000</v>
          </cell>
          <cell r="C151" t="str">
            <v>PISTA DE SKATE</v>
          </cell>
          <cell r="G151">
            <v>0</v>
          </cell>
        </row>
        <row r="152">
          <cell r="A152">
            <v>18001000</v>
          </cell>
          <cell r="B152" t="str">
            <v xml:space="preserve">73786/005A </v>
          </cell>
          <cell r="C152" t="str">
            <v>TUBO DE AÇO GALVANIZADO Ø50MM (2") - FORNECIMENTO E INSTALAÇÃO</v>
          </cell>
          <cell r="D152" t="str">
            <v xml:space="preserve">M </v>
          </cell>
          <cell r="E152">
            <v>26.23</v>
          </cell>
          <cell r="F152">
            <v>44.41</v>
          </cell>
          <cell r="G152">
            <v>39.390371031825055</v>
          </cell>
          <cell r="P152">
            <v>39.390371031825055</v>
          </cell>
        </row>
        <row r="153">
          <cell r="A153">
            <v>18002000</v>
          </cell>
          <cell r="B153" t="str">
            <v xml:space="preserve">73935/001 </v>
          </cell>
          <cell r="C153" t="str">
            <v>ALVENARIA EM TIJOLO CERAMICO FURADO 10X20X20CM, 1/2 VEZ, ASSENTADO EM ARGAMASSA TRACO 1:4 (CIMENTO E AREIA)</v>
          </cell>
          <cell r="D153" t="str">
            <v xml:space="preserve">M2 </v>
          </cell>
          <cell r="E153">
            <v>14.96</v>
          </cell>
          <cell r="F153">
            <v>27.85</v>
          </cell>
          <cell r="G153">
            <v>24.702135402754511</v>
          </cell>
          <cell r="P153">
            <v>24.702135402754511</v>
          </cell>
        </row>
        <row r="154">
          <cell r="A154">
            <v>18003000</v>
          </cell>
          <cell r="B154" t="str">
            <v xml:space="preserve">73942/002 </v>
          </cell>
          <cell r="C154" t="str">
            <v>ARMACAO (FORN., CORTE, DOBRA E COLOC.) ACO CA-60 DIAM. 3,4 A 6,0MM.</v>
          </cell>
          <cell r="D154" t="str">
            <v xml:space="preserve">KG </v>
          </cell>
          <cell r="E154">
            <v>47.3</v>
          </cell>
          <cell r="F154">
            <v>7.26</v>
          </cell>
          <cell r="G154">
            <v>6.4394076489765792</v>
          </cell>
          <cell r="P154">
            <v>6.4394076489765792</v>
          </cell>
        </row>
        <row r="155">
          <cell r="A155">
            <v>18004000</v>
          </cell>
          <cell r="B155" t="str">
            <v xml:space="preserve">73965/015 </v>
          </cell>
          <cell r="C155" t="str">
            <v>ESCAVACAO MANUAL DE VALAS H &lt;= 1,50 M</v>
          </cell>
          <cell r="D155" t="str">
            <v xml:space="preserve">M3 </v>
          </cell>
          <cell r="E155">
            <v>1.8</v>
          </cell>
          <cell r="F155">
            <v>18.350000000000001</v>
          </cell>
          <cell r="G155">
            <v>16.275913272550998</v>
          </cell>
          <cell r="P155">
            <v>16.275913272550998</v>
          </cell>
        </row>
        <row r="156">
          <cell r="A156">
            <v>18005000</v>
          </cell>
          <cell r="B156" t="str">
            <v xml:space="preserve">73972/001 </v>
          </cell>
          <cell r="C156" t="str">
            <v>CONCRETO ESTRUTURAL FCK=25MPA, VIRADO EM BETONEIRA, NA OBRA, SEM LANÇAMENTO</v>
          </cell>
          <cell r="D156" t="str">
            <v xml:space="preserve">M3 </v>
          </cell>
          <cell r="E156">
            <v>28.25</v>
          </cell>
          <cell r="F156">
            <v>298.98</v>
          </cell>
          <cell r="G156">
            <v>265.18651499876279</v>
          </cell>
          <cell r="P156">
            <v>265.18651499876279</v>
          </cell>
        </row>
        <row r="157">
          <cell r="A157">
            <v>18006000</v>
          </cell>
          <cell r="B157" t="str">
            <v xml:space="preserve">74075/002 </v>
          </cell>
          <cell r="C157" t="str">
            <v>FORMA MADEIRA COMP RESINADA 12MM P/ESTRUTURA REAPROV 3 VEZES - CORTE/ MONTAGEM/ESCORAMENTO/DESFORMA</v>
          </cell>
          <cell r="D157" t="str">
            <v xml:space="preserve">M2 </v>
          </cell>
          <cell r="E157">
            <v>32.85</v>
          </cell>
          <cell r="F157">
            <v>50.52</v>
          </cell>
          <cell r="G157">
            <v>44.809762317671741</v>
          </cell>
          <cell r="P157">
            <v>44.809762317671741</v>
          </cell>
        </row>
        <row r="158">
          <cell r="A158">
            <v>18007000</v>
          </cell>
          <cell r="B158" t="str">
            <v xml:space="preserve">74157/002 </v>
          </cell>
          <cell r="C158" t="str">
            <v>LANCAMENTO MANUAL DE CONCRETO EM ESTRUTURAS, INCL. VIBRACAO</v>
          </cell>
          <cell r="D158" t="str">
            <v xml:space="preserve">M3 </v>
          </cell>
          <cell r="E158">
            <v>28.25</v>
          </cell>
          <cell r="F158">
            <v>95.79</v>
          </cell>
          <cell r="G158">
            <v>84.962928194967844</v>
          </cell>
          <cell r="P158">
            <v>84.962928194967844</v>
          </cell>
        </row>
        <row r="159">
          <cell r="A159">
            <v>18008000</v>
          </cell>
          <cell r="B159" t="str">
            <v xml:space="preserve">74254/002 </v>
          </cell>
          <cell r="C159" t="str">
            <v>ARMACAO (FORNECIMENTO, CORTE, DOBRA E COLOCAÇÃO) ACO CA-50, DIAM. 6,3 (1/4 ) À 12,5MM(1/2 )</v>
          </cell>
          <cell r="D159" t="str">
            <v xml:space="preserve">KG </v>
          </cell>
          <cell r="E159">
            <v>1858.3</v>
          </cell>
          <cell r="F159">
            <v>6.67</v>
          </cell>
          <cell r="G159">
            <v>5.9160949061534138</v>
          </cell>
          <cell r="P159">
            <v>5.9160949061534138</v>
          </cell>
        </row>
        <row r="160">
          <cell r="A160">
            <v>18009000</v>
          </cell>
          <cell r="B160" t="str">
            <v xml:space="preserve">AGT.51001 </v>
          </cell>
          <cell r="C160" t="str">
            <v>ESCAVACAO TUBULOES A CEU ABERTO</v>
          </cell>
          <cell r="D160" t="str">
            <v xml:space="preserve">M3 </v>
          </cell>
          <cell r="E160">
            <v>1.1299999999999999</v>
          </cell>
          <cell r="F160">
            <v>160.93</v>
          </cell>
          <cell r="G160">
            <v>142.74020288564751</v>
          </cell>
          <cell r="P160">
            <v>142.74020288564751</v>
          </cell>
        </row>
        <row r="161">
          <cell r="A161">
            <v>18010000</v>
          </cell>
          <cell r="B161" t="str">
            <v xml:space="preserve">CPS.70769 </v>
          </cell>
          <cell r="C161" t="str">
            <v>CANTONEIRA EM AÇO 1/4" ABAS IGUAIS 0,05M CADA PARA PROTEÇÃO DAS QUINAS</v>
          </cell>
          <cell r="D161" t="str">
            <v xml:space="preserve">M </v>
          </cell>
          <cell r="E161">
            <v>26.5</v>
          </cell>
          <cell r="F161">
            <v>8.2799999999999994</v>
          </cell>
          <cell r="G161">
            <v>7.3441178145352719</v>
          </cell>
          <cell r="P161">
            <v>7.3441178145352719</v>
          </cell>
        </row>
        <row r="162">
          <cell r="A162">
            <v>18011000</v>
          </cell>
          <cell r="B162" t="str">
            <v xml:space="preserve">CPS.73631 </v>
          </cell>
          <cell r="C162" t="str">
            <v>GUARDA-CORPO EM TUBO DE ACO GALVANIZADO 2"</v>
          </cell>
          <cell r="D162" t="str">
            <v xml:space="preserve">M2 </v>
          </cell>
          <cell r="E162">
            <v>31.11</v>
          </cell>
          <cell r="F162">
            <v>271.14999999999998</v>
          </cell>
          <cell r="G162">
            <v>240.5021190110192</v>
          </cell>
          <cell r="P162">
            <v>240.5021190110192</v>
          </cell>
        </row>
        <row r="163">
          <cell r="A163">
            <v>18012000</v>
          </cell>
          <cell r="B163" t="str">
            <v>200499-AGT</v>
          </cell>
          <cell r="C163" t="str">
            <v>REBOCO PAULISTA A-14 (1CALH:4ARMLC+100kgCI/M3)</v>
          </cell>
          <cell r="D163" t="str">
            <v>M2</v>
          </cell>
          <cell r="E163">
            <v>14.96</v>
          </cell>
          <cell r="F163">
            <v>14.91</v>
          </cell>
          <cell r="G163">
            <v>13.224733890666776</v>
          </cell>
          <cell r="P163">
            <v>13.224733890666776</v>
          </cell>
        </row>
        <row r="164">
          <cell r="A164">
            <v>18013000</v>
          </cell>
          <cell r="B164" t="str">
            <v xml:space="preserve">73954/001 </v>
          </cell>
          <cell r="C164" t="str">
            <v>PINTURA LATEX ACRILICA AMBIENTES INTERNOS/EXTERNOS, TRES DEMAOS NA COR BRANCO GELO</v>
          </cell>
          <cell r="D164" t="str">
            <v xml:space="preserve">M2 </v>
          </cell>
          <cell r="E164">
            <v>14.96</v>
          </cell>
          <cell r="F164">
            <v>11.65</v>
          </cell>
          <cell r="G164">
            <v>10.33320924388115</v>
          </cell>
        </row>
        <row r="165">
          <cell r="A165">
            <v>18014000</v>
          </cell>
          <cell r="B165" t="str">
            <v xml:space="preserve">74161/001 </v>
          </cell>
          <cell r="C165" t="str">
            <v>CHAPISCO EM PAREDES TRACO 1:3 (CIMENTO E AREIA), ESPESSURA 0,5CM, PREPARO MECANICO</v>
          </cell>
          <cell r="D165" t="str">
            <v xml:space="preserve">M2 </v>
          </cell>
          <cell r="E165">
            <v>14.96</v>
          </cell>
          <cell r="F165">
            <v>3.18</v>
          </cell>
          <cell r="G165">
            <v>2.8205669867418077</v>
          </cell>
        </row>
        <row r="166">
          <cell r="A166">
            <v>19000000</v>
          </cell>
          <cell r="C166" t="str">
            <v>AGUA FRIA</v>
          </cell>
          <cell r="G166">
            <v>0</v>
          </cell>
        </row>
        <row r="167">
          <cell r="A167">
            <v>19001000</v>
          </cell>
          <cell r="B167">
            <v>72434</v>
          </cell>
          <cell r="C167" t="str">
            <v>TE DE PVC ROSQUEAVEL AGUA FRIA 25X1/2"" - FORNECIMENTO E INSTALACAO</v>
          </cell>
          <cell r="D167" t="str">
            <v xml:space="preserve">UN </v>
          </cell>
          <cell r="E167">
            <v>2</v>
          </cell>
          <cell r="F167">
            <v>4.09</v>
          </cell>
          <cell r="G167">
            <v>3.6277103697402491</v>
          </cell>
        </row>
        <row r="168">
          <cell r="A168">
            <v>19002000</v>
          </cell>
          <cell r="B168">
            <v>72439</v>
          </cell>
          <cell r="C168" t="str">
            <v>TE DE PVC SOLDAVEL AGUA FRIA 25MM - FORNECIMENTO E INSTALACAO</v>
          </cell>
          <cell r="D168" t="str">
            <v xml:space="preserve">UN </v>
          </cell>
          <cell r="E168">
            <v>6</v>
          </cell>
          <cell r="F168">
            <v>3.78</v>
          </cell>
          <cell r="G168">
            <v>3.3527494370704503</v>
          </cell>
          <cell r="P168">
            <v>3.3527494370704503</v>
          </cell>
        </row>
        <row r="169">
          <cell r="A169">
            <v>19003000</v>
          </cell>
          <cell r="B169">
            <v>72440</v>
          </cell>
          <cell r="C169" t="str">
            <v>TE DE PVC SOLDAVEL AGUA FRIA 32MM - FORNECIMENTO E INSTALACAO</v>
          </cell>
          <cell r="D169" t="str">
            <v xml:space="preserve">UN </v>
          </cell>
          <cell r="E169">
            <v>2</v>
          </cell>
          <cell r="F169">
            <v>5.25</v>
          </cell>
          <cell r="G169">
            <v>4.6565964403756253</v>
          </cell>
          <cell r="P169">
            <v>4.6565964403756253</v>
          </cell>
        </row>
        <row r="170">
          <cell r="A170">
            <v>19004000</v>
          </cell>
          <cell r="B170">
            <v>72442</v>
          </cell>
          <cell r="C170" t="str">
            <v>TE DE PVC SOLDAVEL AGUA FRIA 50MM - FORNECIMENTO E INSTALACAO</v>
          </cell>
          <cell r="D170" t="str">
            <v xml:space="preserve">UN </v>
          </cell>
          <cell r="E170">
            <v>1</v>
          </cell>
          <cell r="F170">
            <v>9.98</v>
          </cell>
          <cell r="G170">
            <v>8.8519680904664284</v>
          </cell>
          <cell r="P170">
            <v>8.8519680904664284</v>
          </cell>
        </row>
        <row r="171">
          <cell r="A171">
            <v>19005000</v>
          </cell>
          <cell r="B171">
            <v>72573</v>
          </cell>
          <cell r="C171" t="str">
            <v>JOELHO PVC SOLDAVEL 90º AGUA FRIA 25MM - FORNECIMENTO E INSTALACAO</v>
          </cell>
          <cell r="D171" t="str">
            <v xml:space="preserve">UN </v>
          </cell>
          <cell r="E171">
            <v>13</v>
          </cell>
          <cell r="F171">
            <v>3.47</v>
          </cell>
          <cell r="G171">
            <v>3.0777885044006519</v>
          </cell>
          <cell r="P171">
            <v>3.0777885044006519</v>
          </cell>
        </row>
        <row r="172">
          <cell r="A172">
            <v>19006000</v>
          </cell>
          <cell r="B172">
            <v>72574</v>
          </cell>
          <cell r="C172" t="str">
            <v>JOELHO PVC SOLDAVEL 45º AGUA FRIA 25MM - FORNECIMENTO E INSTALACAO</v>
          </cell>
          <cell r="D172" t="str">
            <v xml:space="preserve">UN </v>
          </cell>
          <cell r="E172">
            <v>1</v>
          </cell>
          <cell r="F172">
            <v>3.95</v>
          </cell>
          <cell r="G172">
            <v>3.503534464663566</v>
          </cell>
          <cell r="P172">
            <v>3.503534464663566</v>
          </cell>
        </row>
        <row r="173">
          <cell r="A173">
            <v>19007000</v>
          </cell>
          <cell r="B173">
            <v>72575</v>
          </cell>
          <cell r="C173" t="str">
            <v>JOELHO PVC SOLDAVEL 90º AGUA FRIA 32MM - FORNECIMENTO E INSTALACAO</v>
          </cell>
          <cell r="D173" t="str">
            <v xml:space="preserve">UN </v>
          </cell>
          <cell r="E173">
            <v>2</v>
          </cell>
          <cell r="F173">
            <v>4.24</v>
          </cell>
          <cell r="G173">
            <v>3.7607559823224102</v>
          </cell>
          <cell r="P173">
            <v>3.7607559823224102</v>
          </cell>
        </row>
        <row r="174">
          <cell r="A174">
            <v>19008000</v>
          </cell>
          <cell r="B174">
            <v>72643</v>
          </cell>
          <cell r="C174" t="str">
            <v>LUVA PVC SOLDAVEL AGUA FRIA 25MM - FORNECIMENTO E INSTALACAO</v>
          </cell>
          <cell r="D174" t="str">
            <v xml:space="preserve">UN </v>
          </cell>
          <cell r="E174">
            <v>10</v>
          </cell>
          <cell r="F174">
            <v>2.16</v>
          </cell>
          <cell r="G174">
            <v>1.9158568211831146</v>
          </cell>
          <cell r="P174">
            <v>1.9158568211831146</v>
          </cell>
        </row>
        <row r="175">
          <cell r="A175">
            <v>19009000</v>
          </cell>
          <cell r="B175">
            <v>72703</v>
          </cell>
          <cell r="C175" t="str">
            <v>REDUCAO DE PVC SOLDAVEL AGUA FRIA 50X25MM - FORNECIMENTO E INSTALACAO</v>
          </cell>
          <cell r="D175" t="str">
            <v xml:space="preserve">UN </v>
          </cell>
          <cell r="E175">
            <v>5</v>
          </cell>
          <cell r="F175">
            <v>4.9000000000000004</v>
          </cell>
          <cell r="G175">
            <v>4.3461566776839176</v>
          </cell>
          <cell r="P175">
            <v>4.3461566776839176</v>
          </cell>
        </row>
        <row r="176">
          <cell r="A176">
            <v>19010000</v>
          </cell>
          <cell r="B176">
            <v>72784</v>
          </cell>
          <cell r="C176" t="str">
            <v>ADAPTADOR PVC SOLDAVEL COM FLANGES E ANEL PARA CAIXA D´AGUA 25MMX3/4"" - FORNECIMENTO E INSTALACAO</v>
          </cell>
          <cell r="D176" t="str">
            <v xml:space="preserve">UN </v>
          </cell>
          <cell r="E176">
            <v>2</v>
          </cell>
          <cell r="F176">
            <v>8.73</v>
          </cell>
          <cell r="G176">
            <v>7.7432546522817551</v>
          </cell>
          <cell r="P176">
            <v>7.7432546522817551</v>
          </cell>
        </row>
        <row r="177">
          <cell r="A177">
            <v>19011000</v>
          </cell>
          <cell r="B177">
            <v>72785</v>
          </cell>
          <cell r="C177" t="str">
            <v>ADAPTADOR PVC SOLDAVEL COM FLANGES E ANEL PARA CAIXA D´AGUA 32MMX1"" - FORNECIMENTO E INSTALACAO</v>
          </cell>
          <cell r="D177" t="str">
            <v xml:space="preserve">UN </v>
          </cell>
          <cell r="E177">
            <v>4</v>
          </cell>
          <cell r="F177">
            <v>14.11</v>
          </cell>
          <cell r="G177">
            <v>12.515157290228586</v>
          </cell>
          <cell r="P177">
            <v>12.515157290228586</v>
          </cell>
        </row>
        <row r="178">
          <cell r="A178">
            <v>19012000</v>
          </cell>
          <cell r="B178">
            <v>72787</v>
          </cell>
          <cell r="C178" t="str">
            <v>ADAPTADOR PVC SOLDAVEL COM FLANGES E ANEL PARA CAIXA D´AGUA 50MMX1.1/2"" - FORNECIMENTO E INSTALACAO</v>
          </cell>
          <cell r="D178" t="str">
            <v xml:space="preserve">UN </v>
          </cell>
          <cell r="E178">
            <v>2</v>
          </cell>
          <cell r="F178">
            <v>19.350000000000001</v>
          </cell>
          <cell r="G178">
            <v>17.162884023098737</v>
          </cell>
          <cell r="P178">
            <v>17.162884023098737</v>
          </cell>
        </row>
        <row r="179">
          <cell r="A179">
            <v>19013000</v>
          </cell>
          <cell r="B179">
            <v>73636</v>
          </cell>
          <cell r="C179" t="str">
            <v>TE PVC SOLDAVEL COM ROSCA METALICA AGUA FRIA 25MMX25MMX1/2"" - FORNECIMENTO E INSTALACAO</v>
          </cell>
          <cell r="D179" t="str">
            <v xml:space="preserve">UN </v>
          </cell>
          <cell r="E179">
            <v>2</v>
          </cell>
          <cell r="F179">
            <v>9.15</v>
          </cell>
          <cell r="G179">
            <v>8.1157823675118053</v>
          </cell>
          <cell r="P179">
            <v>8.1157823675118053</v>
          </cell>
        </row>
        <row r="180">
          <cell r="A180">
            <v>19014000</v>
          </cell>
          <cell r="B180">
            <v>73642</v>
          </cell>
          <cell r="C180" t="str">
            <v>JOELHO PVC SOLDAVEL COM ROSCA METALICA 90º AGUA FRIA 25MMX1/2"" - FORNECIMENTO E INSTALACAO</v>
          </cell>
          <cell r="D180" t="str">
            <v xml:space="preserve">UN </v>
          </cell>
          <cell r="E180">
            <v>19</v>
          </cell>
          <cell r="F180">
            <v>6.72</v>
          </cell>
          <cell r="G180">
            <v>5.9604434436808003</v>
          </cell>
          <cell r="P180">
            <v>5.9604434436808003</v>
          </cell>
        </row>
        <row r="181">
          <cell r="A181">
            <v>19015000</v>
          </cell>
          <cell r="B181">
            <v>73643</v>
          </cell>
          <cell r="C181" t="str">
            <v>JOELHO PVC SOLDAVEL COM ROSCA 90º AGUA FRIA 25MMX3/4"" - FORNECIMENTO E INSTALACAO</v>
          </cell>
          <cell r="D181" t="str">
            <v xml:space="preserve">UN </v>
          </cell>
          <cell r="E181">
            <v>5</v>
          </cell>
          <cell r="F181">
            <v>4.95</v>
          </cell>
          <cell r="G181">
            <v>4.390505215211304</v>
          </cell>
          <cell r="P181">
            <v>4.390505215211304</v>
          </cell>
        </row>
        <row r="182">
          <cell r="A182">
            <v>19016000</v>
          </cell>
          <cell r="B182">
            <v>73647</v>
          </cell>
          <cell r="C182" t="str">
            <v>LUVA PVC SOLDAVEL COM ROSCA AGUA FRIA 32MMX1"" - FORNECIMENTO E INSTALACAO</v>
          </cell>
          <cell r="D182" t="str">
            <v xml:space="preserve">UN </v>
          </cell>
          <cell r="E182">
            <v>1</v>
          </cell>
          <cell r="F182">
            <v>4.67</v>
          </cell>
          <cell r="G182">
            <v>4.1421534050579378</v>
          </cell>
          <cell r="P182">
            <v>4.1421534050579378</v>
          </cell>
        </row>
        <row r="183">
          <cell r="A183">
            <v>19017000</v>
          </cell>
          <cell r="B183" t="str">
            <v xml:space="preserve">73777/002 </v>
          </cell>
          <cell r="C183" t="str">
            <v>TUBO DE PVC BRANCO ROSQUEÁVEL 3/4"" - FORNECIMENTO E INSTALAÇÃO</v>
          </cell>
          <cell r="D183" t="str">
            <v xml:space="preserve">M </v>
          </cell>
          <cell r="E183">
            <v>0.28000000000000003</v>
          </cell>
          <cell r="F183">
            <v>5.89</v>
          </cell>
          <cell r="G183">
            <v>5.224257720726178</v>
          </cell>
          <cell r="P183">
            <v>5.224257720726178</v>
          </cell>
        </row>
        <row r="184">
          <cell r="A184">
            <v>19018000</v>
          </cell>
          <cell r="B184" t="str">
            <v xml:space="preserve">73779/002 </v>
          </cell>
          <cell r="C184" t="str">
            <v>TUBO DE PVC BRANCO, SEM CONEXÕES, PONTA, BOLSA E VIROLA 50MM - FORNECIMENTO E INSTALAÇÃO</v>
          </cell>
          <cell r="D184" t="str">
            <v xml:space="preserve">M </v>
          </cell>
          <cell r="E184">
            <v>6.51</v>
          </cell>
          <cell r="F184">
            <v>9.43</v>
          </cell>
          <cell r="G184">
            <v>8.3641341776651714</v>
          </cell>
          <cell r="P184">
            <v>8.3641341776651714</v>
          </cell>
        </row>
        <row r="185">
          <cell r="A185">
            <v>19019000</v>
          </cell>
          <cell r="B185" t="str">
            <v xml:space="preserve">73949/001 </v>
          </cell>
          <cell r="C185" t="str">
            <v>TORNEIRA CROMADA 1/2"" OU 3/4"" PARA JARDIM OU TANQUE, PADRAO ALTO - FORNECIMENTO E INSTALACAO</v>
          </cell>
          <cell r="D185" t="str">
            <v xml:space="preserve">UN </v>
          </cell>
          <cell r="E185">
            <v>5</v>
          </cell>
          <cell r="F185">
            <v>46.79</v>
          </cell>
          <cell r="G185">
            <v>41.501361418128667</v>
          </cell>
        </row>
        <row r="186">
          <cell r="A186">
            <v>19020000</v>
          </cell>
          <cell r="B186" t="str">
            <v xml:space="preserve">74058/002 </v>
          </cell>
          <cell r="C186" t="str">
            <v>TORNEIRA DE BOIA VAZAO TOTAL 3/4 COM BALAO PLASTICO - FORNECIMENTO E INSTALACAO</v>
          </cell>
          <cell r="D186" t="str">
            <v xml:space="preserve">UN </v>
          </cell>
          <cell r="E186">
            <v>2</v>
          </cell>
          <cell r="F186">
            <v>37.01</v>
          </cell>
          <cell r="G186">
            <v>32.826787477771788</v>
          </cell>
          <cell r="P186">
            <v>32.826787477771788</v>
          </cell>
        </row>
        <row r="187">
          <cell r="A187">
            <v>19021000</v>
          </cell>
          <cell r="B187" t="str">
            <v xml:space="preserve">74176/001 </v>
          </cell>
          <cell r="C187" t="str">
            <v>REGISTRO GAVETA 3/4"" COM CANOPLA ACABAMENTO CROMADO SIMPLES - FORNECIMENTO E INSTALACAO</v>
          </cell>
          <cell r="D187" t="str">
            <v xml:space="preserve">UN </v>
          </cell>
          <cell r="E187">
            <v>7</v>
          </cell>
          <cell r="F187">
            <v>52.23</v>
          </cell>
          <cell r="G187">
            <v>46.326482301108364</v>
          </cell>
          <cell r="P187">
            <v>46.326482301108364</v>
          </cell>
        </row>
        <row r="188">
          <cell r="A188">
            <v>19022000</v>
          </cell>
          <cell r="B188" t="str">
            <v xml:space="preserve">74182/001 </v>
          </cell>
          <cell r="C188" t="str">
            <v>REGISTRO GAVETA 1.1/2"" BRUTO LATAO - FORNECIMENTO E INSTALACAO</v>
          </cell>
          <cell r="D188" t="str">
            <v xml:space="preserve">UN </v>
          </cell>
          <cell r="E188">
            <v>2</v>
          </cell>
          <cell r="F188">
            <v>57.89</v>
          </cell>
          <cell r="G188">
            <v>51.346736749208567</v>
          </cell>
          <cell r="P188">
            <v>51.346736749208567</v>
          </cell>
        </row>
        <row r="189">
          <cell r="A189">
            <v>19023000</v>
          </cell>
          <cell r="B189" t="str">
            <v xml:space="preserve">74184/001 </v>
          </cell>
          <cell r="C189" t="str">
            <v>REGISTRO GAVETA 1"" BRUTO LATAO - FORNECIMENTO E INSTALACAO</v>
          </cell>
          <cell r="D189" t="str">
            <v xml:space="preserve">UN </v>
          </cell>
          <cell r="E189">
            <v>3</v>
          </cell>
          <cell r="F189">
            <v>34.51</v>
          </cell>
          <cell r="G189">
            <v>30.609360601402443</v>
          </cell>
          <cell r="P189">
            <v>30.609360601402443</v>
          </cell>
        </row>
        <row r="190">
          <cell r="A190">
            <v>19024000</v>
          </cell>
          <cell r="B190" t="str">
            <v xml:space="preserve">74185/001 </v>
          </cell>
          <cell r="C190" t="str">
            <v>REGISTRO GAVETA 3/4"" BRUTO LATAO - FORNECIMENTO E INSTALACAO</v>
          </cell>
          <cell r="D190" t="str">
            <v xml:space="preserve">UN </v>
          </cell>
          <cell r="E190">
            <v>2</v>
          </cell>
          <cell r="F190">
            <v>26.99</v>
          </cell>
          <cell r="G190">
            <v>23.939340557283455</v>
          </cell>
          <cell r="P190">
            <v>23.939340557283455</v>
          </cell>
        </row>
        <row r="191">
          <cell r="A191">
            <v>19025000</v>
          </cell>
          <cell r="B191">
            <v>74314</v>
          </cell>
          <cell r="C191" t="str">
            <v>TUBO DE PVC SOLDAVEL, SEM CONEXOES 25MM - FORNECIMENTO E INSTALACAO</v>
          </cell>
          <cell r="D191" t="str">
            <v xml:space="preserve">M </v>
          </cell>
          <cell r="E191">
            <v>247.77</v>
          </cell>
          <cell r="F191">
            <v>3.85</v>
          </cell>
          <cell r="G191">
            <v>3.4148373896087922</v>
          </cell>
          <cell r="P191">
            <v>3.4148373896087922</v>
          </cell>
        </row>
        <row r="192">
          <cell r="A192">
            <v>19026000</v>
          </cell>
          <cell r="B192">
            <v>74315</v>
          </cell>
          <cell r="C192" t="str">
            <v>TUBO DE PVC SOLDAVEL, SEM CONEXOES 32MM - FORNECIMENTO E INSTALACAO</v>
          </cell>
          <cell r="D192" t="str">
            <v xml:space="preserve">M </v>
          </cell>
          <cell r="E192">
            <v>3</v>
          </cell>
          <cell r="F192">
            <v>6.56</v>
          </cell>
          <cell r="G192">
            <v>5.8185281235931621</v>
          </cell>
          <cell r="P192">
            <v>5.8185281235931621</v>
          </cell>
        </row>
        <row r="193">
          <cell r="A193">
            <v>19027000</v>
          </cell>
          <cell r="B193">
            <v>74317</v>
          </cell>
          <cell r="C193" t="str">
            <v>TUBO DE PVC SOLDAVEL, SEM CONEXOES 50MM - FORNECIMENTO E INSTALACAO</v>
          </cell>
          <cell r="D193" t="str">
            <v xml:space="preserve">M </v>
          </cell>
          <cell r="E193">
            <v>12</v>
          </cell>
          <cell r="F193">
            <v>10.99</v>
          </cell>
          <cell r="G193">
            <v>9.7478085485196431</v>
          </cell>
          <cell r="P193">
            <v>9.7478085485196431</v>
          </cell>
        </row>
        <row r="194">
          <cell r="A194">
            <v>19028000</v>
          </cell>
          <cell r="B194" t="str">
            <v xml:space="preserve">AGS.81066 </v>
          </cell>
          <cell r="C194" t="str">
            <v>ADAPTAD.SOLD.CURTO C/BOLSA E ROSCA P/REG.25X3/4""</v>
          </cell>
          <cell r="D194" t="str">
            <v xml:space="preserve">UN </v>
          </cell>
          <cell r="E194">
            <v>16</v>
          </cell>
          <cell r="F194">
            <v>2.8</v>
          </cell>
          <cell r="G194">
            <v>2.4835181015336669</v>
          </cell>
          <cell r="P194">
            <v>2.4835181015336669</v>
          </cell>
        </row>
        <row r="195">
          <cell r="A195">
            <v>19029000</v>
          </cell>
          <cell r="B195" t="str">
            <v xml:space="preserve">AGS.81069 </v>
          </cell>
          <cell r="C195" t="str">
            <v>ADAPTAD.SOLD.CURTO C/BOLSA/ROSCA P/REG.50X11/2""</v>
          </cell>
          <cell r="D195" t="str">
            <v xml:space="preserve">UN </v>
          </cell>
          <cell r="E195">
            <v>3</v>
          </cell>
          <cell r="F195">
            <v>6.65</v>
          </cell>
          <cell r="G195">
            <v>5.8983554911424596</v>
          </cell>
          <cell r="P195">
            <v>5.8983554911424596</v>
          </cell>
        </row>
        <row r="196">
          <cell r="A196">
            <v>19030000</v>
          </cell>
          <cell r="B196" t="str">
            <v xml:space="preserve">AGS.81537 </v>
          </cell>
          <cell r="C196" t="str">
            <v>CURVA 90 GRAUS SOLDAVEL DIAMETRO 25 mm</v>
          </cell>
          <cell r="D196" t="str">
            <v xml:space="preserve">UN </v>
          </cell>
          <cell r="E196">
            <v>7</v>
          </cell>
          <cell r="F196">
            <v>5.64</v>
          </cell>
          <cell r="G196">
            <v>5.0025150330892432</v>
          </cell>
          <cell r="P196">
            <v>5.0025150330892432</v>
          </cell>
        </row>
        <row r="197">
          <cell r="A197">
            <v>19031000</v>
          </cell>
          <cell r="B197" t="str">
            <v xml:space="preserve">AGS.81540 </v>
          </cell>
          <cell r="C197" t="str">
            <v>CURVA 90 GRAUS SOLDAVEL DIAMETRO 50 mm</v>
          </cell>
          <cell r="D197" t="str">
            <v xml:space="preserve">UN </v>
          </cell>
          <cell r="E197">
            <v>1</v>
          </cell>
          <cell r="F197">
            <v>13.22</v>
          </cell>
          <cell r="G197">
            <v>11.725753322241101</v>
          </cell>
          <cell r="P197">
            <v>11.725753322241101</v>
          </cell>
        </row>
        <row r="198">
          <cell r="A198">
            <v>19032000</v>
          </cell>
          <cell r="B198" t="str">
            <v>HID-DAG-015</v>
          </cell>
          <cell r="C198" t="str">
            <v>CAIXA DAGUA POLIURETANO 1000 LTS. C/TAMPA</v>
          </cell>
          <cell r="D198" t="str">
            <v xml:space="preserve">UN </v>
          </cell>
          <cell r="E198">
            <v>2</v>
          </cell>
          <cell r="F198">
            <v>354.19</v>
          </cell>
          <cell r="G198">
            <v>314.15617013650342</v>
          </cell>
          <cell r="P198">
            <v>314.15617013650342</v>
          </cell>
        </row>
        <row r="199">
          <cell r="A199">
            <v>19033000</v>
          </cell>
          <cell r="B199" t="str">
            <v>COT-PMPA</v>
          </cell>
          <cell r="C199" t="str">
            <v>COLAR DE TOMADA EM PVC COM TRAVAS 3/4"" - FORNECIMENTO E INSTALACAO</v>
          </cell>
          <cell r="D199" t="str">
            <v xml:space="preserve">UN </v>
          </cell>
          <cell r="E199">
            <v>1</v>
          </cell>
          <cell r="F199">
            <v>10.8</v>
          </cell>
          <cell r="G199">
            <v>9.5792841059155727</v>
          </cell>
          <cell r="P199">
            <v>9.5792841059155727</v>
          </cell>
        </row>
        <row r="200">
          <cell r="A200">
            <v>19034000</v>
          </cell>
          <cell r="B200" t="str">
            <v>COT-PMPA</v>
          </cell>
          <cell r="C200" t="str">
            <v>REGISTRO DE ESFERA EM BRONZE D= 3/4"" FORNEC E COLOCACAO</v>
          </cell>
          <cell r="D200" t="str">
            <v xml:space="preserve">UN </v>
          </cell>
          <cell r="E200">
            <v>1</v>
          </cell>
          <cell r="F200">
            <v>34.15</v>
          </cell>
          <cell r="G200">
            <v>30.29005113120526</v>
          </cell>
        </row>
        <row r="201">
          <cell r="A201">
            <v>19035000</v>
          </cell>
          <cell r="B201" t="str">
            <v xml:space="preserve">CPS.73870/001B </v>
          </cell>
          <cell r="C201" t="str">
            <v>REGISTRO DE ESFERA BORBOLETA D= 3/4"" FORNEC E COLOCACAO</v>
          </cell>
          <cell r="D201" t="str">
            <v xml:space="preserve">UN </v>
          </cell>
          <cell r="E201">
            <v>1</v>
          </cell>
          <cell r="F201">
            <v>20.32</v>
          </cell>
          <cell r="G201">
            <v>18.02324565113004</v>
          </cell>
          <cell r="P201">
            <v>18.02324565113004</v>
          </cell>
        </row>
        <row r="202">
          <cell r="A202">
            <v>19036000</v>
          </cell>
          <cell r="B202" t="str">
            <v xml:space="preserve">CPS.74019/001D </v>
          </cell>
          <cell r="C202" t="str">
            <v>ESCAVACAO E REATERRO MANUAL (TUBULAÇÕES)</v>
          </cell>
          <cell r="D202" t="str">
            <v xml:space="preserve">M3 </v>
          </cell>
          <cell r="E202">
            <v>16.46</v>
          </cell>
          <cell r="F202">
            <v>21.9</v>
          </cell>
          <cell r="G202">
            <v>19.424659436995466</v>
          </cell>
          <cell r="P202">
            <v>19.424659436995466</v>
          </cell>
        </row>
        <row r="203">
          <cell r="A203">
            <v>19037000</v>
          </cell>
          <cell r="B203">
            <v>75796</v>
          </cell>
          <cell r="C203" t="str">
            <v>CAIXA PARA TORNEIRA JARDIM 60X60X65CM EM ALVENARIA REVESTIDA COM ARGAMASSA 1:2:8 COM TAMPA METÁLICA E FUNDO EM BRITA, INCLUSIVE ESCAVAÇÃO, APILOAMENTO CONFORME PROJETO HIDRO-SANITÁRIO</v>
          </cell>
          <cell r="D203" t="str">
            <v xml:space="preserve">UN </v>
          </cell>
          <cell r="E203">
            <v>5</v>
          </cell>
          <cell r="F203">
            <v>123.9</v>
          </cell>
          <cell r="G203">
            <v>109.89567599286477</v>
          </cell>
          <cell r="P203">
            <v>109.89567599286477</v>
          </cell>
        </row>
        <row r="204">
          <cell r="A204">
            <v>19038000</v>
          </cell>
          <cell r="B204">
            <v>73648</v>
          </cell>
          <cell r="C204" t="str">
            <v xml:space="preserve"> LUVA PVC SOLDAVEL COM ROSCA AGUA FRIA 25MMX3/4" - FORNECIMENTO E INSTALAÇAO</v>
          </cell>
          <cell r="D204" t="str">
            <v xml:space="preserve">UN </v>
          </cell>
          <cell r="E204">
            <v>1</v>
          </cell>
          <cell r="F204">
            <v>3.21</v>
          </cell>
          <cell r="G204">
            <v>2.8471761092582395</v>
          </cell>
          <cell r="P204">
            <v>2.8471761092582395</v>
          </cell>
        </row>
        <row r="205">
          <cell r="A205">
            <v>19039000</v>
          </cell>
          <cell r="B205">
            <v>72704</v>
          </cell>
          <cell r="C205" t="str">
            <v>REDUCAO DE PVC SOLDAVEL AGUA FRIA 50X32MM - FORNECIMENTO E INSTALACAO</v>
          </cell>
          <cell r="D205" t="str">
            <v xml:space="preserve">UN </v>
          </cell>
          <cell r="E205">
            <v>1</v>
          </cell>
          <cell r="F205">
            <v>4.9000000000000004</v>
          </cell>
          <cell r="G205">
            <v>4.3461566776839176</v>
          </cell>
          <cell r="P205">
            <v>4.3461566776839176</v>
          </cell>
        </row>
        <row r="206">
          <cell r="A206">
            <v>19040000</v>
          </cell>
          <cell r="B206">
            <v>72575</v>
          </cell>
          <cell r="C206" t="str">
            <v xml:space="preserve"> JOELHO PVC SOLDAVEL 90º AGUA FRIA 32MM - FORNECIMENTO E INSTALACAO </v>
          </cell>
          <cell r="D206" t="str">
            <v xml:space="preserve">UN </v>
          </cell>
          <cell r="E206">
            <v>1</v>
          </cell>
          <cell r="F206">
            <v>4.24</v>
          </cell>
          <cell r="G206">
            <v>3.7607559823224102</v>
          </cell>
          <cell r="P206">
            <v>3.7607559823224102</v>
          </cell>
        </row>
        <row r="207">
          <cell r="A207">
            <v>19041000</v>
          </cell>
          <cell r="B207">
            <v>72579</v>
          </cell>
          <cell r="C207" t="str">
            <v xml:space="preserve">JOELHO PVC SOLDAVEL 90º AGUA FRIA 50MM - FORNECIMENTO E INSTALACAO </v>
          </cell>
          <cell r="D207" t="str">
            <v xml:space="preserve">UN </v>
          </cell>
          <cell r="E207">
            <v>1</v>
          </cell>
          <cell r="F207">
            <v>7.35</v>
          </cell>
          <cell r="G207">
            <v>6.5192350165258759</v>
          </cell>
          <cell r="P207">
            <v>6.5192350165258759</v>
          </cell>
        </row>
        <row r="208">
          <cell r="A208">
            <v>20000000</v>
          </cell>
          <cell r="C208" t="str">
            <v>PLUVIAL - PVC ESGOTO</v>
          </cell>
          <cell r="G208">
            <v>0</v>
          </cell>
        </row>
        <row r="209">
          <cell r="A209">
            <v>20001000</v>
          </cell>
          <cell r="B209">
            <v>40777</v>
          </cell>
          <cell r="C209" t="str">
            <v>CAIXA SIFONADA PVC 150X150X50MM COM GRELHA REDONDA BRANCA - FORNECIMENTO E INSTALACAO</v>
          </cell>
          <cell r="D209" t="str">
            <v xml:space="preserve">UN </v>
          </cell>
          <cell r="E209">
            <v>3</v>
          </cell>
          <cell r="F209">
            <v>25.69</v>
          </cell>
          <cell r="G209">
            <v>22.786278581571395</v>
          </cell>
          <cell r="P209">
            <v>22.786278581571395</v>
          </cell>
        </row>
        <row r="210">
          <cell r="A210">
            <v>20002000</v>
          </cell>
          <cell r="B210" t="str">
            <v xml:space="preserve"> 74089/001</v>
          </cell>
          <cell r="C210" t="str">
            <v>TUBO PVC ESGOTO SERIE R DN 100MM - FORNECIMENTO E INSTALACAO</v>
          </cell>
          <cell r="D210" t="str">
            <v xml:space="preserve">M </v>
          </cell>
          <cell r="E210">
            <v>55.93</v>
          </cell>
          <cell r="F210">
            <v>20.48</v>
          </cell>
          <cell r="G210">
            <v>18.165160971217681</v>
          </cell>
          <cell r="P210">
            <v>18.165160971217681</v>
          </cell>
        </row>
        <row r="211">
          <cell r="A211">
            <v>20003000</v>
          </cell>
          <cell r="B211">
            <v>72292</v>
          </cell>
          <cell r="C211" t="str">
            <v>CAIXA SIFONADA EM PVC 100X100X50MM SIMPLES - FORNECIMENTO E INSTALAÇÃO</v>
          </cell>
          <cell r="D211" t="str">
            <v xml:space="preserve">UN </v>
          </cell>
          <cell r="E211">
            <v>3</v>
          </cell>
          <cell r="F211">
            <v>25.7</v>
          </cell>
          <cell r="G211">
            <v>22.79514828907687</v>
          </cell>
          <cell r="P211">
            <v>22.79514828907687</v>
          </cell>
        </row>
        <row r="212">
          <cell r="A212">
            <v>20004000</v>
          </cell>
          <cell r="B212">
            <v>72463</v>
          </cell>
          <cell r="C212" t="str">
            <v>TE SANITARIO 50X50MM, JUNTA SOLDADA - FORNECIMENTO E INSTALACAO</v>
          </cell>
          <cell r="D212" t="str">
            <v xml:space="preserve">UN </v>
          </cell>
          <cell r="E212">
            <v>7</v>
          </cell>
          <cell r="F212">
            <v>9.1999999999999993</v>
          </cell>
          <cell r="G212">
            <v>8.1601309050391908</v>
          </cell>
          <cell r="P212">
            <v>8.1601309050391908</v>
          </cell>
        </row>
        <row r="213">
          <cell r="A213">
            <v>20005000</v>
          </cell>
          <cell r="B213">
            <v>72541</v>
          </cell>
          <cell r="C213" t="str">
            <v>CURVA PVC CURTA 90º ESGOTO 100MM - FORNECIMENTO E INSTALACAO</v>
          </cell>
          <cell r="D213" t="str">
            <v xml:space="preserve">UN </v>
          </cell>
          <cell r="E213">
            <v>7</v>
          </cell>
          <cell r="F213">
            <v>16.98</v>
          </cell>
          <cell r="G213">
            <v>15.060763344300595</v>
          </cell>
          <cell r="P213">
            <v>15.060763344300595</v>
          </cell>
        </row>
        <row r="214">
          <cell r="A214">
            <v>20006000</v>
          </cell>
          <cell r="B214">
            <v>72542</v>
          </cell>
          <cell r="C214" t="str">
            <v>CURVA PVC LONGA 90º ESGOTO 100MM - FORNECIMENTO E INSTALACAO</v>
          </cell>
          <cell r="D214" t="str">
            <v xml:space="preserve">UN </v>
          </cell>
          <cell r="E214">
            <v>18</v>
          </cell>
          <cell r="F214">
            <v>27.99</v>
          </cell>
          <cell r="G214">
            <v>24.82631130783119</v>
          </cell>
          <cell r="P214">
            <v>24.82631130783119</v>
          </cell>
        </row>
        <row r="215">
          <cell r="A215">
            <v>20007000</v>
          </cell>
          <cell r="B215">
            <v>72543</v>
          </cell>
          <cell r="C215" t="str">
            <v>CURVA PVC LONGA 45º ESGOTO 100MM - FORNECIMENTO E INSTALACAO</v>
          </cell>
          <cell r="D215" t="str">
            <v xml:space="preserve">UN </v>
          </cell>
          <cell r="E215">
            <v>8</v>
          </cell>
          <cell r="F215">
            <v>28.43</v>
          </cell>
          <cell r="G215">
            <v>25.216578438072197</v>
          </cell>
          <cell r="P215">
            <v>25.216578438072197</v>
          </cell>
        </row>
        <row r="216">
          <cell r="A216">
            <v>20008000</v>
          </cell>
          <cell r="B216">
            <v>72544</v>
          </cell>
          <cell r="C216" t="str">
            <v>CURVA PVC CURTA 90º ESGOTO 50MM - FORNECIMENTO E INSTALACAO</v>
          </cell>
          <cell r="D216" t="str">
            <v xml:space="preserve">UN </v>
          </cell>
          <cell r="E216">
            <v>4</v>
          </cell>
          <cell r="F216">
            <v>8.83</v>
          </cell>
          <cell r="G216">
            <v>7.8319517273365289</v>
          </cell>
          <cell r="P216">
            <v>7.8319517273365289</v>
          </cell>
        </row>
        <row r="217">
          <cell r="A217">
            <v>20009000</v>
          </cell>
          <cell r="B217">
            <v>72545</v>
          </cell>
          <cell r="C217" t="str">
            <v>CURVA PVC LONGA 90º ESGOTO 50MM - FORNECIMENTO E INSTALACAO</v>
          </cell>
          <cell r="D217" t="str">
            <v xml:space="preserve">UN </v>
          </cell>
          <cell r="E217">
            <v>1</v>
          </cell>
          <cell r="F217">
            <v>7.43</v>
          </cell>
          <cell r="G217">
            <v>6.5901926765696945</v>
          </cell>
          <cell r="P217">
            <v>6.5901926765696945</v>
          </cell>
        </row>
        <row r="218">
          <cell r="A218">
            <v>20010000</v>
          </cell>
          <cell r="B218">
            <v>72546</v>
          </cell>
          <cell r="C218" t="str">
            <v>CURVA PVC LONGA 45º ESGOTO 50MM - FORNECIMENTO E INSTALACAO</v>
          </cell>
          <cell r="D218" t="str">
            <v xml:space="preserve">UN </v>
          </cell>
          <cell r="E218">
            <v>3</v>
          </cell>
          <cell r="F218">
            <v>12.76</v>
          </cell>
          <cell r="G218">
            <v>11.317746776989139</v>
          </cell>
          <cell r="P218">
            <v>11.317746776989139</v>
          </cell>
        </row>
        <row r="219">
          <cell r="A219">
            <v>20011000</v>
          </cell>
          <cell r="B219">
            <v>72547</v>
          </cell>
          <cell r="C219" t="str">
            <v>CURVA PVC CURTA 90º ESGOTO 40MM - FORNECIMENTO E INSTALACAO</v>
          </cell>
          <cell r="D219" t="str">
            <v xml:space="preserve">UN </v>
          </cell>
          <cell r="E219">
            <v>8</v>
          </cell>
          <cell r="F219">
            <v>4.32</v>
          </cell>
          <cell r="G219">
            <v>3.8317136423662292</v>
          </cell>
          <cell r="P219">
            <v>3.8317136423662292</v>
          </cell>
        </row>
        <row r="220">
          <cell r="A220">
            <v>20012000</v>
          </cell>
          <cell r="B220">
            <v>72556</v>
          </cell>
          <cell r="C220" t="str">
            <v>JOELHO PVC 90º ESGOTO 100MM - FORNECIMENTO E INSTALACAO</v>
          </cell>
          <cell r="D220" t="str">
            <v xml:space="preserve">UN </v>
          </cell>
          <cell r="E220">
            <v>6</v>
          </cell>
          <cell r="F220">
            <v>13.46</v>
          </cell>
          <cell r="G220">
            <v>11.938626302372557</v>
          </cell>
          <cell r="P220">
            <v>11.938626302372557</v>
          </cell>
        </row>
        <row r="221">
          <cell r="A221">
            <v>20013000</v>
          </cell>
          <cell r="B221">
            <v>72560</v>
          </cell>
          <cell r="C221" t="str">
            <v>JOELHO PVC 90º ESGOTO 50MM - FORNECIMENTO E INSTALACAO</v>
          </cell>
          <cell r="D221" t="str">
            <v xml:space="preserve">UN </v>
          </cell>
          <cell r="E221">
            <v>8</v>
          </cell>
          <cell r="F221">
            <v>6.35</v>
          </cell>
          <cell r="G221">
            <v>5.6322642659781375</v>
          </cell>
          <cell r="P221">
            <v>5.6322642659781375</v>
          </cell>
        </row>
        <row r="222">
          <cell r="A222">
            <v>20014000</v>
          </cell>
          <cell r="B222">
            <v>72603</v>
          </cell>
          <cell r="C222" t="str">
            <v>JUNCAO PVC ESGOTO 100X100MM - FORNECIMENTO E INSTALACAO</v>
          </cell>
          <cell r="D222" t="str">
            <v xml:space="preserve">UN </v>
          </cell>
          <cell r="E222">
            <v>2</v>
          </cell>
          <cell r="F222">
            <v>20.85</v>
          </cell>
          <cell r="G222">
            <v>18.493340148920343</v>
          </cell>
          <cell r="P222">
            <v>18.493340148920343</v>
          </cell>
        </row>
        <row r="223">
          <cell r="A223">
            <v>20015000</v>
          </cell>
          <cell r="B223">
            <v>72604</v>
          </cell>
          <cell r="C223" t="str">
            <v>JUNCAO PVC ESGOTO 50X50MM - FORNECIMENTO E INSTALACAO</v>
          </cell>
          <cell r="D223" t="str">
            <v xml:space="preserve">UN </v>
          </cell>
          <cell r="E223">
            <v>1</v>
          </cell>
          <cell r="F223">
            <v>9.02</v>
          </cell>
          <cell r="G223">
            <v>8.0004761699405975</v>
          </cell>
          <cell r="P223">
            <v>8.0004761699405975</v>
          </cell>
        </row>
        <row r="224">
          <cell r="A224">
            <v>20016000</v>
          </cell>
          <cell r="B224">
            <v>72774</v>
          </cell>
          <cell r="C224" t="str">
            <v>JUNCAO PVC ESGOTO 100X50MM - FORNECIMENTO E INSTALACAO</v>
          </cell>
          <cell r="D224" t="str">
            <v xml:space="preserve">UN </v>
          </cell>
          <cell r="E224">
            <v>6</v>
          </cell>
          <cell r="F224">
            <v>19.260000000000002</v>
          </cell>
          <cell r="G224">
            <v>17.083056655549438</v>
          </cell>
          <cell r="P224">
            <v>17.083056655549438</v>
          </cell>
        </row>
        <row r="225">
          <cell r="A225">
            <v>20017000</v>
          </cell>
          <cell r="B225" t="str">
            <v xml:space="preserve">73779/001 </v>
          </cell>
          <cell r="C225" t="str">
            <v>TUBO DE PVC BRANCO, SEM CONEXÕES, PONTA E BOLSA SOLDÁVEL 40MM - FORNECIMENTO E INSTALAÇÃO</v>
          </cell>
          <cell r="D225" t="str">
            <v xml:space="preserve">M </v>
          </cell>
          <cell r="E225">
            <v>14.08</v>
          </cell>
          <cell r="F225">
            <v>6.1</v>
          </cell>
          <cell r="G225">
            <v>5.4105215783412026</v>
          </cell>
          <cell r="P225">
            <v>5.4105215783412026</v>
          </cell>
        </row>
        <row r="226">
          <cell r="A226">
            <v>20018000</v>
          </cell>
          <cell r="B226" t="str">
            <v xml:space="preserve">73779/002 </v>
          </cell>
          <cell r="C226" t="str">
            <v>TUBO DE PVC BRANCO, SEM CONEXÕES, PONTA, BOLSA E VIROLA 50MM - FORNECIMENTO E INSTALAÇÃO</v>
          </cell>
          <cell r="D226" t="str">
            <v xml:space="preserve">M </v>
          </cell>
          <cell r="E226">
            <v>7.24</v>
          </cell>
          <cell r="F226">
            <v>9.43</v>
          </cell>
          <cell r="G226">
            <v>8.3641341776651714</v>
          </cell>
          <cell r="P226">
            <v>8.3641341776651714</v>
          </cell>
        </row>
        <row r="227">
          <cell r="A227">
            <v>20019000</v>
          </cell>
          <cell r="B227" t="str">
            <v xml:space="preserve">74026/001 </v>
          </cell>
          <cell r="C227" t="str">
            <v>TUBO PVC PARA ESGOTO PREDIAL DN 100MM - FORNECIMENTO E INSTALACAO</v>
          </cell>
          <cell r="D227" t="str">
            <v xml:space="preserve">M </v>
          </cell>
          <cell r="E227">
            <v>189.6</v>
          </cell>
          <cell r="F227">
            <v>14.2</v>
          </cell>
          <cell r="G227">
            <v>12.594984657777882</v>
          </cell>
          <cell r="P227">
            <v>12.594984657777882</v>
          </cell>
        </row>
        <row r="228">
          <cell r="A228">
            <v>20020000</v>
          </cell>
          <cell r="B228" t="str">
            <v xml:space="preserve">AGT.72286A </v>
          </cell>
          <cell r="C228" t="str">
            <v>CAIXA DE AREIA 60X60X65CM EM ALVENARIA COM GRELHA- EXECUÇÃO</v>
          </cell>
          <cell r="D228" t="str">
            <v xml:space="preserve">UN </v>
          </cell>
          <cell r="E228">
            <v>12</v>
          </cell>
          <cell r="F228">
            <v>123.9</v>
          </cell>
          <cell r="G228">
            <v>109.89567599286477</v>
          </cell>
          <cell r="P228">
            <v>109.89567599286477</v>
          </cell>
        </row>
        <row r="229">
          <cell r="A229">
            <v>20021000</v>
          </cell>
          <cell r="B229" t="str">
            <v xml:space="preserve">AGT.81665 </v>
          </cell>
          <cell r="C229" t="str">
            <v>CAIXA SIFONADA DIAM. 250 X 172 X 50</v>
          </cell>
          <cell r="D229" t="str">
            <v xml:space="preserve">UN </v>
          </cell>
          <cell r="E229">
            <v>1</v>
          </cell>
          <cell r="F229">
            <v>36.450000000000003</v>
          </cell>
          <cell r="G229">
            <v>32.330083857465063</v>
          </cell>
          <cell r="P229">
            <v>32.330083857465063</v>
          </cell>
        </row>
        <row r="230">
          <cell r="A230">
            <v>20022000</v>
          </cell>
          <cell r="B230" t="str">
            <v xml:space="preserve">AGT.81945 </v>
          </cell>
          <cell r="C230" t="str">
            <v>JOELHO 90 GRAUS C/BOLSA P/ANEL DIAM.40X1.1/2</v>
          </cell>
          <cell r="D230" t="str">
            <v xml:space="preserve">UN </v>
          </cell>
          <cell r="E230">
            <v>9</v>
          </cell>
          <cell r="F230">
            <v>6.4</v>
          </cell>
          <cell r="G230">
            <v>5.6766128035055248</v>
          </cell>
          <cell r="P230">
            <v>5.6766128035055248</v>
          </cell>
        </row>
        <row r="231">
          <cell r="A231">
            <v>20023000</v>
          </cell>
          <cell r="B231" t="str">
            <v xml:space="preserve">CPS.74051 </v>
          </cell>
          <cell r="C231" t="str">
            <v>CAIXA DE GORDURA 60X60X65CM EM ALVENARIA REVESTIDA COM ARGAMASSA 1:2:8 COM TAMPA E FUNDO EM CONCRETO, INCLUSIVE ESCAVAÇÃO, APILOAMENTO E IMPERMEABILIZAÇÃO COM APLICAÇÃO DE BETUME 2 DEMÃOS, CONFORME PROJETO HIDRO-SANITÁRIO</v>
          </cell>
          <cell r="D231" t="str">
            <v xml:space="preserve">UN </v>
          </cell>
          <cell r="E231">
            <v>4</v>
          </cell>
          <cell r="F231">
            <v>100.74</v>
          </cell>
          <cell r="G231">
            <v>89.35343341017915</v>
          </cell>
          <cell r="P231">
            <v>89.35343341017915</v>
          </cell>
        </row>
        <row r="232">
          <cell r="A232">
            <v>20024000</v>
          </cell>
          <cell r="B232" t="str">
            <v xml:space="preserve">CPS.74104/001A </v>
          </cell>
          <cell r="C232" t="str">
            <v>CAIXA DE INSPEÇÃO DE ESGOTO EM ALVENARIA DE TIJOLO MACIÇO 60X60X60CM, REVESTIDA INTERNAMENTO COM BARRA LISA (CIMENTO E AREIA, TRAÇO 1:4) E=2,0CM, COM TAMPA PRÉ-MOLDADA DE CONCRETO E FUNDO DE CONCRETO 15MPA TIPO C - ESCAVAÇÃO E CONFECÇÃO</v>
          </cell>
          <cell r="D232" t="str">
            <v xml:space="preserve">UN </v>
          </cell>
          <cell r="E232">
            <v>2</v>
          </cell>
          <cell r="F232">
            <v>93.53</v>
          </cell>
          <cell r="G232">
            <v>82.95837429872995</v>
          </cell>
          <cell r="P232">
            <v>82.95837429872995</v>
          </cell>
        </row>
        <row r="233">
          <cell r="A233">
            <v>20025000</v>
          </cell>
          <cell r="B233">
            <v>72559</v>
          </cell>
          <cell r="C233" t="str">
            <v xml:space="preserve">JOELHO PVC 45º ESGOTO 40MM - FORNECIMENTO E INSTALACAO </v>
          </cell>
          <cell r="D233" t="str">
            <v xml:space="preserve">UN </v>
          </cell>
          <cell r="E233">
            <v>2</v>
          </cell>
          <cell r="F233">
            <v>5.49</v>
          </cell>
          <cell r="G233">
            <v>4.869469420507083</v>
          </cell>
          <cell r="P233">
            <v>4.869469420507083</v>
          </cell>
        </row>
        <row r="234">
          <cell r="A234">
            <v>21000000</v>
          </cell>
          <cell r="C234" t="str">
            <v xml:space="preserve">VENTILAÇÃO </v>
          </cell>
          <cell r="G234">
            <v>0</v>
          </cell>
        </row>
        <row r="235">
          <cell r="A235">
            <v>21001000</v>
          </cell>
          <cell r="B235">
            <v>72463</v>
          </cell>
          <cell r="C235" t="str">
            <v>TE SANITARIO 50X50MM, JUNTA SOLDADA - FORNECIMENTO E INSTALACAO</v>
          </cell>
          <cell r="D235" t="str">
            <v xml:space="preserve">UN </v>
          </cell>
          <cell r="E235">
            <v>1</v>
          </cell>
          <cell r="F235">
            <v>9.1999999999999993</v>
          </cell>
          <cell r="G235">
            <v>8.1601309050391908</v>
          </cell>
          <cell r="P235">
            <v>8.1601309050391908</v>
          </cell>
        </row>
        <row r="236">
          <cell r="A236">
            <v>21002000</v>
          </cell>
          <cell r="B236">
            <v>72544</v>
          </cell>
          <cell r="C236" t="str">
            <v>CURVA PVC CURTA 90º ESGOTO 50MM - FORNECIMENTO E INSTALACAO</v>
          </cell>
          <cell r="D236" t="str">
            <v xml:space="preserve">UN </v>
          </cell>
          <cell r="E236">
            <v>4</v>
          </cell>
          <cell r="F236">
            <v>8.83</v>
          </cell>
          <cell r="G236">
            <v>7.8319517273365289</v>
          </cell>
          <cell r="P236">
            <v>7.8319517273365289</v>
          </cell>
        </row>
        <row r="237">
          <cell r="A237">
            <v>21003000</v>
          </cell>
          <cell r="B237">
            <v>72545</v>
          </cell>
          <cell r="C237" t="str">
            <v>CURVA PVC LONGA 90º ESGOTO 50MM - FORNECIMENTO E INSTALACAO</v>
          </cell>
          <cell r="D237" t="str">
            <v xml:space="preserve">UN </v>
          </cell>
          <cell r="E237">
            <v>1</v>
          </cell>
          <cell r="F237">
            <v>7.43</v>
          </cell>
          <cell r="G237">
            <v>6.5901926765696945</v>
          </cell>
          <cell r="P237">
            <v>6.5901926765696945</v>
          </cell>
        </row>
        <row r="238">
          <cell r="A238">
            <v>21004000</v>
          </cell>
          <cell r="B238">
            <v>72560</v>
          </cell>
          <cell r="C238" t="str">
            <v>JOELHO PVC 90º ESGOTO 50MM - FORNECIMENTO E INSTALACAO</v>
          </cell>
          <cell r="D238" t="str">
            <v xml:space="preserve">UN </v>
          </cell>
          <cell r="E238">
            <v>1</v>
          </cell>
          <cell r="F238">
            <v>6.35</v>
          </cell>
          <cell r="G238">
            <v>5.6322642659781375</v>
          </cell>
          <cell r="P238">
            <v>5.6322642659781375</v>
          </cell>
        </row>
        <row r="239">
          <cell r="A239">
            <v>21005000</v>
          </cell>
          <cell r="B239">
            <v>72604</v>
          </cell>
          <cell r="C239" t="str">
            <v>JUNCAO PVC ESGOTO 50X50MM - FORNECIMENTO E INSTALACAO</v>
          </cell>
          <cell r="D239" t="str">
            <v xml:space="preserve">UN </v>
          </cell>
          <cell r="E239">
            <v>1</v>
          </cell>
          <cell r="F239">
            <v>9.02</v>
          </cell>
          <cell r="G239">
            <v>8.0004761699405975</v>
          </cell>
          <cell r="P239">
            <v>8.0004761699405975</v>
          </cell>
        </row>
        <row r="240">
          <cell r="A240">
            <v>21006000</v>
          </cell>
          <cell r="B240" t="str">
            <v xml:space="preserve">73779/002 </v>
          </cell>
          <cell r="C240" t="str">
            <v>TUBO DE PVC BRANCO, SEM CONEXÕES, PONTA, BOLSA E VIROLA 50MM - FORNECIMENTO E INSTALAÇÃO</v>
          </cell>
          <cell r="D240" t="str">
            <v xml:space="preserve">M </v>
          </cell>
          <cell r="E240">
            <v>16.899999999999999</v>
          </cell>
          <cell r="F240">
            <v>9.43</v>
          </cell>
          <cell r="G240">
            <v>8.3641341776651714</v>
          </cell>
          <cell r="P240">
            <v>8.3641341776651714</v>
          </cell>
        </row>
        <row r="241">
          <cell r="A241">
            <v>21007000</v>
          </cell>
          <cell r="B241" t="str">
            <v xml:space="preserve">74026/001 </v>
          </cell>
          <cell r="C241" t="str">
            <v>TUBO PVC PARA ESGOTO PREDIAL DN 100MM - FORNECIMENTO E INSTALACAO</v>
          </cell>
          <cell r="D241" t="str">
            <v xml:space="preserve">M </v>
          </cell>
          <cell r="E241">
            <v>115.25</v>
          </cell>
          <cell r="F241">
            <v>14.2</v>
          </cell>
          <cell r="G241">
            <v>12.594984657777882</v>
          </cell>
          <cell r="P241">
            <v>12.594984657777882</v>
          </cell>
        </row>
        <row r="242">
          <cell r="A242">
            <v>21008000</v>
          </cell>
          <cell r="B242">
            <v>72561</v>
          </cell>
          <cell r="C242" t="str">
            <v>JOELHO PVC 45º ESGOTO 50MM - FORNECIMENTO E INSTALACAO</v>
          </cell>
          <cell r="D242" t="str">
            <v>UN</v>
          </cell>
          <cell r="E242">
            <v>2</v>
          </cell>
          <cell r="F242">
            <v>6.79</v>
          </cell>
          <cell r="G242">
            <v>6.0225313962191427</v>
          </cell>
          <cell r="P242">
            <v>6.0225313962191427</v>
          </cell>
        </row>
        <row r="243">
          <cell r="A243">
            <v>22000000</v>
          </cell>
          <cell r="C243" t="str">
            <v xml:space="preserve">INCENDIO </v>
          </cell>
          <cell r="G243">
            <v>0</v>
          </cell>
        </row>
        <row r="244">
          <cell r="A244">
            <v>22001000</v>
          </cell>
          <cell r="B244" t="str">
            <v>COT-PMPA</v>
          </cell>
          <cell r="C244" t="str">
            <v>BLOCO AUTÔNOMO PARA ILUMINAÇÃO DE EMERGÊNCIA, PARA 2 LÂMPADAS FLUORESCENTES TUBULARES DE 9W, COM BATERIA INTERNA E AUTONOMIA MÍNIMA DE 6 HORAS, REF. DYNALUX OU SIMILAR</v>
          </cell>
          <cell r="D244" t="str">
            <v xml:space="preserve">UN </v>
          </cell>
          <cell r="E244">
            <v>13</v>
          </cell>
          <cell r="F244">
            <v>55</v>
          </cell>
          <cell r="G244">
            <v>48.783391280125599</v>
          </cell>
          <cell r="P244">
            <v>48.783391280125599</v>
          </cell>
        </row>
        <row r="245">
          <cell r="A245">
            <v>22002000</v>
          </cell>
          <cell r="B245" t="str">
            <v>COT-PMPA</v>
          </cell>
          <cell r="C245" t="str">
            <v>PICTOGRAMA (ROTA DE FUGA (SETA P/ ESQUERDA) COMP. 0,4M E LARG.0,28M</v>
          </cell>
          <cell r="D245" t="str">
            <v xml:space="preserve">UN </v>
          </cell>
          <cell r="E245">
            <v>1</v>
          </cell>
          <cell r="F245">
            <v>13.5</v>
          </cell>
          <cell r="G245">
            <v>11.974105132394467</v>
          </cell>
          <cell r="P245">
            <v>11.974105132394467</v>
          </cell>
        </row>
        <row r="246">
          <cell r="A246">
            <v>22003000</v>
          </cell>
          <cell r="B246" t="str">
            <v>COT-PMPA</v>
          </cell>
          <cell r="C246" t="str">
            <v>PICTOGRAMA (EXTINTOR DE INCÊNDIO (PÓ QUÍMICO)) COMP. 0,4M E LARG.0,28M</v>
          </cell>
          <cell r="D246" t="str">
            <v xml:space="preserve">UN </v>
          </cell>
          <cell r="E246">
            <v>7</v>
          </cell>
          <cell r="F246">
            <v>13.5</v>
          </cell>
          <cell r="G246">
            <v>11.974105132394467</v>
          </cell>
          <cell r="P246">
            <v>11.974105132394467</v>
          </cell>
        </row>
        <row r="247">
          <cell r="A247">
            <v>22004000</v>
          </cell>
          <cell r="B247" t="str">
            <v xml:space="preserve">CPS.73775/001A </v>
          </cell>
          <cell r="C247" t="str">
            <v>EXTINTOR INCENDIO TP PO QUIMICO -ABC: 2-A; 20-B:C FORNECIMENTO E COLOCACAO</v>
          </cell>
          <cell r="D247" t="str">
            <v xml:space="preserve">UN </v>
          </cell>
          <cell r="E247">
            <v>7</v>
          </cell>
          <cell r="F247">
            <v>88.35</v>
          </cell>
          <cell r="G247">
            <v>78.363865810892662</v>
          </cell>
          <cell r="P247">
            <v>78.363865810892662</v>
          </cell>
        </row>
        <row r="248">
          <cell r="A248">
            <v>23000000</v>
          </cell>
          <cell r="C248" t="str">
            <v xml:space="preserve">LOUÇAS E METAIS </v>
          </cell>
          <cell r="G248">
            <v>0</v>
          </cell>
        </row>
        <row r="249">
          <cell r="A249">
            <v>23001000</v>
          </cell>
          <cell r="B249">
            <v>40729</v>
          </cell>
          <cell r="C249" t="str">
            <v>VALVULA DESCARGA 1.1/2" COM REGISTRO, ACABAMENTO EM METAL CROMADO - FORNECIMENTO E INSTALACAO</v>
          </cell>
          <cell r="D249" t="str">
            <v xml:space="preserve">UN </v>
          </cell>
          <cell r="E249">
            <v>6</v>
          </cell>
          <cell r="F249">
            <v>160.62</v>
          </cell>
          <cell r="G249">
            <v>142.46524195297772</v>
          </cell>
          <cell r="P249">
            <v>142.46524195297772</v>
          </cell>
        </row>
        <row r="250">
          <cell r="A250">
            <v>23002000</v>
          </cell>
          <cell r="B250" t="str">
            <v xml:space="preserve">73947/009 </v>
          </cell>
          <cell r="C250" t="str">
            <v>SABONETEIRA LOUCA BRANCA 15X15CM - FORNECIMENTO E INSTALACAO</v>
          </cell>
          <cell r="D250" t="str">
            <v xml:space="preserve">UN </v>
          </cell>
          <cell r="E250">
            <v>5</v>
          </cell>
          <cell r="F250">
            <v>18.54</v>
          </cell>
          <cell r="G250">
            <v>16.444437715155065</v>
          </cell>
          <cell r="P250">
            <v>16.444437715155065</v>
          </cell>
        </row>
        <row r="251">
          <cell r="A251">
            <v>23003000</v>
          </cell>
          <cell r="B251" t="str">
            <v xml:space="preserve">73947/012 </v>
          </cell>
          <cell r="C251" t="str">
            <v>PORTA SABONETE LIQUIDO FORNECIMENTO</v>
          </cell>
          <cell r="D251" t="str">
            <v xml:space="preserve">UN </v>
          </cell>
          <cell r="E251">
            <v>5</v>
          </cell>
          <cell r="F251">
            <v>16.940000000000001</v>
          </cell>
          <cell r="G251">
            <v>15.025284514278686</v>
          </cell>
          <cell r="P251">
            <v>15.025284514278686</v>
          </cell>
        </row>
        <row r="252">
          <cell r="A252">
            <v>23004000</v>
          </cell>
          <cell r="B252" t="str">
            <v xml:space="preserve">73949/007 </v>
          </cell>
          <cell r="C252" t="str">
            <v>TORNEIRA CROMADA TUBO MOVEL PARA BANCADA 1/2" OU 3/4" PARA PIA DE COZINHA, PADRAO ALTO - FORNECIMENTO E INSTALACAO</v>
          </cell>
          <cell r="D252" t="str">
            <v xml:space="preserve">UN </v>
          </cell>
          <cell r="E252">
            <v>1</v>
          </cell>
          <cell r="F252">
            <v>145.56</v>
          </cell>
          <cell r="G252">
            <v>129.10746244972879</v>
          </cell>
          <cell r="P252">
            <v>129.10746244972879</v>
          </cell>
        </row>
        <row r="253">
          <cell r="A253">
            <v>23005000</v>
          </cell>
          <cell r="B253" t="str">
            <v xml:space="preserve">73949/008 </v>
          </cell>
          <cell r="C253" t="str">
            <v>TORNEIRA CROMADA 1/2" OU 3/4" PARA TANQUE, PADRÃO POPULAR - FORNECIMENTO E INSTALACAO</v>
          </cell>
          <cell r="D253" t="str">
            <v xml:space="preserve">UN </v>
          </cell>
          <cell r="E253">
            <v>3</v>
          </cell>
          <cell r="F253">
            <v>19.36</v>
          </cell>
          <cell r="G253">
            <v>17.171753730604213</v>
          </cell>
          <cell r="P253">
            <v>17.171753730604213</v>
          </cell>
        </row>
        <row r="254">
          <cell r="A254">
            <v>23006000</v>
          </cell>
          <cell r="B254" t="str">
            <v xml:space="preserve">74057/002A </v>
          </cell>
          <cell r="C254" t="str">
            <v>LAVATÓRIO COM COLUNA SUSPENSA, EM LOUÇA, NA COR BRANCO GELO, (REF. DECA CÓDIGO LINHA VOGUE PLUS CÓDIGO CS1 L51 OU EQUIVALENTE TÉCNICO) BRANCO GELO, COM SIFAO PLASTICO TIPO COPO 1", VALVULA EM PLASTICO BRANCO 1" E CONJUNTO PARA FIXACAO- FORNECIMENTO E INSTALACAO</v>
          </cell>
          <cell r="D254" t="str">
            <v xml:space="preserve">UN </v>
          </cell>
          <cell r="E254">
            <v>2</v>
          </cell>
          <cell r="F254">
            <v>82.5</v>
          </cell>
          <cell r="G254">
            <v>73.175086920188406</v>
          </cell>
          <cell r="P254">
            <v>73.175086920188406</v>
          </cell>
        </row>
        <row r="255">
          <cell r="A255">
            <v>23007000</v>
          </cell>
          <cell r="B255" t="str">
            <v xml:space="preserve">74125/002 </v>
          </cell>
          <cell r="C255" t="str">
            <v>ESPELHO CRISTAL ESPESSURA 4MM, COM MOLDURA EM ALUMINIO E COMPENSADO 6MM PLASTIFICADO COLADO</v>
          </cell>
          <cell r="D255" t="str">
            <v xml:space="preserve">M2 </v>
          </cell>
          <cell r="E255">
            <v>7.86</v>
          </cell>
          <cell r="F255">
            <v>212.07</v>
          </cell>
          <cell r="G255">
            <v>188.09988706865883</v>
          </cell>
          <cell r="P255">
            <v>188.09988706865883</v>
          </cell>
        </row>
        <row r="256">
          <cell r="A256">
            <v>23009000</v>
          </cell>
          <cell r="B256" t="str">
            <v xml:space="preserve">74193/001B </v>
          </cell>
          <cell r="C256" t="str">
            <v>BACIA COM CAIXA ACOPLADA BOTÃO COM DUPLO ACIONAMENTO LINHA IZY COD. CP111/P111, REF. DECA COM SISTEMA VDR (VOLUME DE DESCARGA REDUZIDO) OU EQUIVALENTE TÉCNICO</v>
          </cell>
          <cell r="D256" t="str">
            <v xml:space="preserve">UN </v>
          </cell>
          <cell r="E256">
            <v>6</v>
          </cell>
          <cell r="F256">
            <v>250.9</v>
          </cell>
          <cell r="G256">
            <v>222.54096131242753</v>
          </cell>
          <cell r="P256">
            <v>222.54096131242753</v>
          </cell>
        </row>
        <row r="257">
          <cell r="A257">
            <v>23010000</v>
          </cell>
          <cell r="B257" t="str">
            <v xml:space="preserve">80660B </v>
          </cell>
          <cell r="C257" t="str">
            <v>TORNEIRA CROMADA C/ ALAVANCA, P/ PNE, APROVADA PELA NBR 9050, PRESSMATIC OU EQUIVALENTE - FORNECIMENTO E INSTALACAO</v>
          </cell>
          <cell r="D257" t="str">
            <v xml:space="preserve">UN </v>
          </cell>
          <cell r="E257">
            <v>2</v>
          </cell>
          <cell r="F257">
            <v>49.78</v>
          </cell>
          <cell r="G257">
            <v>44.15340396226641</v>
          </cell>
          <cell r="P257">
            <v>44.15340396226641</v>
          </cell>
        </row>
        <row r="258">
          <cell r="A258">
            <v>23011000</v>
          </cell>
          <cell r="B258" t="str">
            <v xml:space="preserve">COT.230172 </v>
          </cell>
          <cell r="C258" t="str">
            <v>BARRA APOIO EM INOX DIAM. 40MM - CONTORNO LAVATORIO</v>
          </cell>
          <cell r="D258" t="str">
            <v xml:space="preserve">UN </v>
          </cell>
          <cell r="E258">
            <v>2</v>
          </cell>
          <cell r="F258">
            <v>146.66</v>
          </cell>
          <cell r="G258">
            <v>130.08313027533129</v>
          </cell>
          <cell r="P258">
            <v>130.08313027533129</v>
          </cell>
        </row>
        <row r="259">
          <cell r="A259">
            <v>23012000</v>
          </cell>
          <cell r="B259" t="str">
            <v xml:space="preserve">COT.230172A </v>
          </cell>
          <cell r="C259" t="str">
            <v xml:space="preserve">BARRA DE APOIO DECA LINHA CONFORTO CÓD. 2310 EBR - 80 CM </v>
          </cell>
          <cell r="D259" t="str">
            <v xml:space="preserve">UN </v>
          </cell>
          <cell r="E259">
            <v>4</v>
          </cell>
          <cell r="F259">
            <v>131.66</v>
          </cell>
          <cell r="G259">
            <v>116.77856901711522</v>
          </cell>
          <cell r="P259">
            <v>116.77856901711522</v>
          </cell>
        </row>
        <row r="260">
          <cell r="A260">
            <v>23013000</v>
          </cell>
          <cell r="B260" t="str">
            <v xml:space="preserve">COT.73949/009A </v>
          </cell>
          <cell r="C260" t="str">
            <v>TORNEIRA C/ REGULAGEM DE VAZÃO POR MEIO DE REGISTRO INTEGRADO, ACABAMENTO CROMADO (REF. DECA LINHA PROFISSIONAL, DECAMATIC CÓDIGO 1170C OU SIMILAR) - FORNECIMENTO E INSTALACAO</v>
          </cell>
          <cell r="D260" t="str">
            <v xml:space="preserve">UN </v>
          </cell>
          <cell r="E260">
            <v>5</v>
          </cell>
          <cell r="F260">
            <v>118.23</v>
          </cell>
          <cell r="G260">
            <v>104.8665518372591</v>
          </cell>
          <cell r="P260">
            <v>104.8665518372591</v>
          </cell>
        </row>
        <row r="261">
          <cell r="A261">
            <v>23014000</v>
          </cell>
          <cell r="B261" t="str">
            <v xml:space="preserve">COT.80660 </v>
          </cell>
          <cell r="C261" t="str">
            <v>ALARME BANHEIRO DEFICIENTES SONORO E VISUAL - FORNECIMENTO E INSTALACAO</v>
          </cell>
          <cell r="D261" t="str">
            <v xml:space="preserve">UN </v>
          </cell>
          <cell r="E261">
            <v>2</v>
          </cell>
          <cell r="F261">
            <v>623.83000000000004</v>
          </cell>
          <cell r="G261">
            <v>553.31896331419557</v>
          </cell>
          <cell r="P261">
            <v>553.31896331419557</v>
          </cell>
        </row>
        <row r="262">
          <cell r="A262">
            <v>23015000</v>
          </cell>
          <cell r="B262" t="str">
            <v xml:space="preserve">CPS.73947/007A </v>
          </cell>
          <cell r="C262" t="str">
            <v xml:space="preserve">CUBA UNIVERSAL PARA EMBUTIR, OVAL (REF. DECA CÓDIGO L37 OU SIMILAR) COR: BRANCO GELO (INCLUSIVE VALVULA, ENGATE, SIFÃO) </v>
          </cell>
          <cell r="D262" t="str">
            <v xml:space="preserve">UN </v>
          </cell>
          <cell r="E262">
            <v>5</v>
          </cell>
          <cell r="F262">
            <v>140.07</v>
          </cell>
          <cell r="G262">
            <v>124.23799302922168</v>
          </cell>
          <cell r="P262">
            <v>124.23799302922168</v>
          </cell>
        </row>
        <row r="263">
          <cell r="A263">
            <v>23016000</v>
          </cell>
          <cell r="B263" t="str">
            <v xml:space="preserve">CPS.74129/002A </v>
          </cell>
          <cell r="C263" t="str">
            <v>CUBA EM AÇO MAXI RETANGULAR DE EMBUTIR (REF. TRAMONTINA OU EQUIVALENTE) EM AÇO INOX, 50X40X240 MM (INCLUSIVE ENGATE E SIFÃO) - FORNECIMENTO E INSTALACAO</v>
          </cell>
          <cell r="D263" t="str">
            <v xml:space="preserve">UN </v>
          </cell>
          <cell r="E263">
            <v>1</v>
          </cell>
          <cell r="F263">
            <v>54.24</v>
          </cell>
          <cell r="G263">
            <v>48.109293509709325</v>
          </cell>
          <cell r="P263">
            <v>48.109293509709325</v>
          </cell>
        </row>
        <row r="264">
          <cell r="A264">
            <v>23017000</v>
          </cell>
          <cell r="B264">
            <v>9535</v>
          </cell>
          <cell r="C264" t="str">
            <v>CHUVEIRO ELETRICO COMUM CORPO PLASTICO TIPO DUCHA, FORNECIMENTO E INSTALACAO</v>
          </cell>
          <cell r="D264" t="str">
            <v xml:space="preserve">UN </v>
          </cell>
          <cell r="E264">
            <v>1</v>
          </cell>
          <cell r="F264">
            <v>28.72</v>
          </cell>
          <cell r="G264">
            <v>25.473799955731042</v>
          </cell>
          <cell r="P264">
            <v>25.473799955731042</v>
          </cell>
        </row>
        <row r="265">
          <cell r="A265">
            <v>24000000</v>
          </cell>
          <cell r="C265" t="str">
            <v xml:space="preserve">LUMINARIAS </v>
          </cell>
          <cell r="G265">
            <v>0</v>
          </cell>
        </row>
        <row r="266">
          <cell r="A266">
            <v>24001000</v>
          </cell>
          <cell r="B266" t="str">
            <v xml:space="preserve">EIL01 </v>
          </cell>
          <cell r="C266" t="str">
            <v>LUMINÁRIA RETANGULAR PARA POSTE, TIPO PÉTALA, PARA 01 LÂMPADA DE VAPOR METÁLICO ELIPSOIDAL DE 150W. CORPO EM CHAPA DE AÇO TRATADA ZINCADA COM ACABAMENTO EM PINTURA ELETROSTÁTICA EPÓXI-PÓ NA COR PRETA. DIFUSOR EM VIDRO PLANO TEMPERADO TRANSPARENTE. SÉRIE CAUCÁRIO -P.</v>
          </cell>
          <cell r="D266" t="str">
            <v xml:space="preserve">UN </v>
          </cell>
          <cell r="E266">
            <v>23</v>
          </cell>
          <cell r="F266">
            <v>1061.1199999999999</v>
          </cell>
          <cell r="G266">
            <v>941.18240282121587</v>
          </cell>
          <cell r="P266">
            <v>941.18240282121587</v>
          </cell>
        </row>
        <row r="267">
          <cell r="A267">
            <v>24002000</v>
          </cell>
          <cell r="B267" t="str">
            <v xml:space="preserve">EIL02 </v>
          </cell>
          <cell r="C267" t="str">
            <v>PROJETOR DE SOBREPOR COM FOCO ORIENTÁVEL, PARA 1 LÂMPADA VAPOR METÁLICO BILATERAL 250W. CORPO EM ALUMÍNIO INJETADO, COM ALETAS DE RESFRIAMENTO. REFLETOR COM FOCO CONCENTRADO EM CHAPA DE AÇO METALIZADO. DIFUSOR EM VIDRO PLANO TEMPERADO TRANSPARENTE. POSSUI ALOJAMENTO PARA EQUIPAMENTO AUXILIAR.NECESSITA REATOR ELETROMAGNÉTICO. REF. APIAY-C 1XHIT-DE 250W.</v>
          </cell>
          <cell r="D267" t="str">
            <v xml:space="preserve">UN </v>
          </cell>
          <cell r="E267">
            <v>8</v>
          </cell>
          <cell r="F267">
            <v>133.15</v>
          </cell>
          <cell r="G267">
            <v>118.10015543543135</v>
          </cell>
          <cell r="P267">
            <v>118.10015543543135</v>
          </cell>
        </row>
        <row r="268">
          <cell r="A268">
            <v>24003000</v>
          </cell>
          <cell r="B268" t="str">
            <v xml:space="preserve">EIL06 </v>
          </cell>
          <cell r="C268" t="str">
            <v>LUMINÁRIA DE SOBREPOR PARA 2 LÂMPADAS FLUORESCENTES TUBULARES DE 32W. CORPO EM CHAPA DE AÇO TRATADA COM ACABAMENTO EM PINTURA ELETROSTÁTICA EPÓXI-PÓ NA COR BRANCA. REFLETOR EM ALUMÍNIO ANODIZADO DE ALTO BRILHO. ALOJAMENTO DO REATOR NA CABECEIRA. EQUIPADA COM PORTA-LÂMPADA TRAVA DE SEGURANÇA E PROTEÇÃO CONTRA AQUECIMENTO NOS CONTATOS. REF. 3540 2XT26 32W.ANTIVIBRATÓRIO EM POLICARBONATO, COM TRAVA DE SEGURANÇA E PROTEÇÃO CONTRA AQUECIMENTO NOS CONTATOS. REF. 3540 2XT26 32W.</v>
          </cell>
          <cell r="D268" t="str">
            <v xml:space="preserve">UN </v>
          </cell>
          <cell r="E268">
            <v>129</v>
          </cell>
          <cell r="F268">
            <v>121.57</v>
          </cell>
          <cell r="G268">
            <v>107.82903414408852</v>
          </cell>
          <cell r="P268">
            <v>107.82903414408852</v>
          </cell>
        </row>
        <row r="269">
          <cell r="A269">
            <v>24004000</v>
          </cell>
          <cell r="B269" t="str">
            <v>EIL04</v>
          </cell>
          <cell r="C269" t="str">
            <v>ARANDELAS DE PAREDE A 1.60M DO PISO, COM LÂMPADA HALÓGENA 60W E DIFUSOR OPACO</v>
          </cell>
          <cell r="D269" t="str">
            <v xml:space="preserve">UN </v>
          </cell>
          <cell r="E269">
            <v>3</v>
          </cell>
          <cell r="F269">
            <v>159.22</v>
          </cell>
          <cell r="G269">
            <v>141.22348290221089</v>
          </cell>
          <cell r="P269">
            <v>141.22348290221089</v>
          </cell>
        </row>
        <row r="270">
          <cell r="A270">
            <v>25000000</v>
          </cell>
          <cell r="C270" t="str">
            <v xml:space="preserve">ELÉTRICA </v>
          </cell>
          <cell r="G270">
            <v>0</v>
          </cell>
        </row>
        <row r="271">
          <cell r="A271">
            <v>25001000</v>
          </cell>
          <cell r="B271">
            <v>55866</v>
          </cell>
          <cell r="C271" t="str">
            <v>ELETRODUTO DE PVC RIGIDO ROSCAVEL 50MM (2"), FORNECIMENTO E INSTALACAO</v>
          </cell>
          <cell r="D271" t="str">
            <v xml:space="preserve">M </v>
          </cell>
          <cell r="E271">
            <v>2.5299999999999998</v>
          </cell>
          <cell r="F271">
            <v>17.7</v>
          </cell>
          <cell r="G271">
            <v>15.699382284694966</v>
          </cell>
          <cell r="P271">
            <v>15.699382284694966</v>
          </cell>
        </row>
        <row r="272">
          <cell r="A272">
            <v>25002000</v>
          </cell>
          <cell r="B272">
            <v>72334</v>
          </cell>
          <cell r="C272" t="str">
            <v>INTERRUPTOR PARALELO, UMA TECLA, COM PLACA, LINHA PIAL LEGRAND OU EQUIVALENTE</v>
          </cell>
          <cell r="D272" t="str">
            <v xml:space="preserve">UN </v>
          </cell>
          <cell r="E272">
            <v>2</v>
          </cell>
          <cell r="F272">
            <v>8.52</v>
          </cell>
          <cell r="G272">
            <v>7.5569907946667296</v>
          </cell>
          <cell r="P272">
            <v>7.5569907946667296</v>
          </cell>
        </row>
        <row r="273">
          <cell r="A273">
            <v>25003000</v>
          </cell>
          <cell r="B273">
            <v>73613</v>
          </cell>
          <cell r="C273" t="str">
            <v>ELETRODUTO DE PVC RÍGIDO ROSCÁVEL 20 MM (3/4") FORNECIMENTO E INSTALACAO</v>
          </cell>
          <cell r="D273" t="str">
            <v xml:space="preserve">M </v>
          </cell>
          <cell r="E273">
            <v>1429.1</v>
          </cell>
          <cell r="F273">
            <v>4.45</v>
          </cell>
          <cell r="G273">
            <v>3.9470198399374352</v>
          </cell>
          <cell r="P273">
            <v>3.9470198399374352</v>
          </cell>
        </row>
        <row r="274">
          <cell r="A274">
            <v>25004000</v>
          </cell>
          <cell r="B274">
            <v>73614</v>
          </cell>
          <cell r="C274" t="str">
            <v>ELETRODUTO DE PVC RÍGIDO ROSCÁVEL 15 MM (1/2") FORNECIMENTO E INSTALACAO</v>
          </cell>
          <cell r="D274" t="str">
            <v xml:space="preserve">M </v>
          </cell>
          <cell r="E274">
            <v>20.260000000000002</v>
          </cell>
          <cell r="F274">
            <v>4</v>
          </cell>
          <cell r="G274">
            <v>3.5478830021909529</v>
          </cell>
          <cell r="P274">
            <v>3.5478830021909529</v>
          </cell>
        </row>
        <row r="275">
          <cell r="A275">
            <v>25005000</v>
          </cell>
          <cell r="B275" t="str">
            <v xml:space="preserve">74130/006C </v>
          </cell>
          <cell r="C275" t="str">
            <v>DISPOSITIVO SUPRESSOR DE SURTO, REF.CLAMPER VCL 275V 12,5/60KA SLIM OU EQUIVALENTE, TECNOLOGIA MOV, CLASSE I,II, MÁXIMA TENSÃO DE OPERAÇÃO 275V, ISOLAÇÃO 1,5KV, CORRENTE MÁXIMA DE DESCARGA 60KA(8/20), SUPORTABILIDADE À CORRENTE DE CURTO-CIRCUITO 5KA.</v>
          </cell>
          <cell r="D275" t="str">
            <v xml:space="preserve">UN </v>
          </cell>
          <cell r="E275">
            <v>12</v>
          </cell>
          <cell r="F275">
            <v>166.89</v>
          </cell>
          <cell r="G275">
            <v>148.02654855891203</v>
          </cell>
          <cell r="P275">
            <v>148.02654855891203</v>
          </cell>
        </row>
        <row r="276">
          <cell r="A276">
            <v>25006000</v>
          </cell>
          <cell r="B276" t="str">
            <v xml:space="preserve">74252/001 </v>
          </cell>
          <cell r="C276" t="str">
            <v>ELETRODUTO DE PVC RIGIDO ROSCAVEL 25MM (1"), FORNECIMENTO E INSTALACAO</v>
          </cell>
          <cell r="D276" t="str">
            <v xml:space="preserve">M </v>
          </cell>
          <cell r="E276">
            <v>43.31</v>
          </cell>
          <cell r="F276">
            <v>7.7</v>
          </cell>
          <cell r="G276">
            <v>6.8296747792175845</v>
          </cell>
          <cell r="P276">
            <v>6.8296747792175845</v>
          </cell>
        </row>
        <row r="277">
          <cell r="A277">
            <v>25007000</v>
          </cell>
          <cell r="B277" t="str">
            <v xml:space="preserve">AGS.55865A </v>
          </cell>
          <cell r="C277" t="str">
            <v>ELETRODUTO DE PVC RIGIDO ROSCAVEL 32MM (1 1/4"), FORNECIMENTO E INSTALACAO</v>
          </cell>
          <cell r="D277" t="str">
            <v xml:space="preserve">M </v>
          </cell>
          <cell r="E277">
            <v>10.67</v>
          </cell>
          <cell r="F277">
            <v>10.65</v>
          </cell>
          <cell r="G277">
            <v>9.4462384933334125</v>
          </cell>
          <cell r="P277">
            <v>9.4462384933334125</v>
          </cell>
        </row>
        <row r="278">
          <cell r="A278">
            <v>25008000</v>
          </cell>
          <cell r="B278" t="str">
            <v xml:space="preserve">AGS.70647 </v>
          </cell>
          <cell r="C278" t="str">
            <v>CAIXA DE PASSAGEM METALICA 30X30X12 CM NO PISO</v>
          </cell>
          <cell r="D278" t="str">
            <v xml:space="preserve">UN </v>
          </cell>
          <cell r="E278">
            <v>14</v>
          </cell>
          <cell r="F278">
            <v>58.91</v>
          </cell>
          <cell r="G278">
            <v>52.251446914767257</v>
          </cell>
          <cell r="P278">
            <v>52.251446914767257</v>
          </cell>
        </row>
        <row r="279">
          <cell r="A279">
            <v>25009000</v>
          </cell>
          <cell r="B279" t="str">
            <v xml:space="preserve">AGS.70971 </v>
          </cell>
          <cell r="C279" t="str">
            <v>CONDULETE, EM PVC RÍGIDO, CINZA, COM ENTRADA LISA, 3/4", TIPO LL, COM TAMPA CEGA, DA WETZEL OU EQUIVALENTE</v>
          </cell>
          <cell r="D279" t="str">
            <v xml:space="preserve">UN </v>
          </cell>
          <cell r="E279">
            <v>1</v>
          </cell>
          <cell r="F279">
            <v>10.8</v>
          </cell>
          <cell r="G279">
            <v>9.5792841059155727</v>
          </cell>
          <cell r="P279">
            <v>9.5792841059155727</v>
          </cell>
        </row>
        <row r="280">
          <cell r="A280">
            <v>25010000</v>
          </cell>
          <cell r="B280" t="str">
            <v xml:space="preserve">AGS.70981 </v>
          </cell>
          <cell r="C280" t="str">
            <v>CONDULETE, EM PVC RÍGIDO, CINZA, COM ENTRADA LISA, 3/4", TIPO LR, COM TAMPA CEGA, DA WETZEL OU EQUIVALENTE</v>
          </cell>
          <cell r="D280" t="str">
            <v xml:space="preserve">UN </v>
          </cell>
          <cell r="E280">
            <v>1</v>
          </cell>
          <cell r="F280">
            <v>10.8</v>
          </cell>
          <cell r="G280">
            <v>9.5792841059155727</v>
          </cell>
          <cell r="P280">
            <v>9.5792841059155727</v>
          </cell>
        </row>
        <row r="281">
          <cell r="A281">
            <v>25011000</v>
          </cell>
          <cell r="B281" t="str">
            <v xml:space="preserve">AGS.70991 </v>
          </cell>
          <cell r="C281" t="str">
            <v>CONDULETE, EM PVC RÍGIDO, CINZA, COM ENTRADA LISA, 3/4", TIPO T, COM TAMPA CEGA, DA WETZEL OU EQUIVALENTE</v>
          </cell>
          <cell r="D281" t="str">
            <v xml:space="preserve">UN </v>
          </cell>
          <cell r="E281">
            <v>4</v>
          </cell>
          <cell r="F281">
            <v>17.079999999999998</v>
          </cell>
          <cell r="G281">
            <v>15.149460419355368</v>
          </cell>
          <cell r="P281">
            <v>15.149460419355368</v>
          </cell>
        </row>
        <row r="282">
          <cell r="A282">
            <v>25012000</v>
          </cell>
          <cell r="B282" t="str">
            <v xml:space="preserve">AGS.71141 </v>
          </cell>
          <cell r="C282" t="str">
            <v>ELETRODUTO DE PVC RIGIDO ROSCAVEL 40MM (1 1/2"), FORNECIMENTO E INSTALACAO</v>
          </cell>
          <cell r="D282" t="str">
            <v xml:space="preserve">M </v>
          </cell>
          <cell r="E282">
            <v>14.98</v>
          </cell>
          <cell r="F282">
            <v>14.63</v>
          </cell>
          <cell r="G282">
            <v>12.97638208051341</v>
          </cell>
          <cell r="P282">
            <v>12.97638208051341</v>
          </cell>
        </row>
        <row r="283">
          <cell r="A283">
            <v>25013000</v>
          </cell>
          <cell r="B283" t="str">
            <v xml:space="preserve">AGS.71141A </v>
          </cell>
          <cell r="C283" t="str">
            <v>CURVA 90° PARA ELETRODUTO DE PVC RIGIDO, 3/4"</v>
          </cell>
          <cell r="D283" t="str">
            <v xml:space="preserve">UN </v>
          </cell>
          <cell r="E283">
            <v>457</v>
          </cell>
          <cell r="F283">
            <v>4.3499999999999996</v>
          </cell>
          <cell r="G283">
            <v>3.858322764882661</v>
          </cell>
          <cell r="P283">
            <v>3.858322764882661</v>
          </cell>
        </row>
        <row r="284">
          <cell r="A284">
            <v>25014000</v>
          </cell>
          <cell r="B284" t="str">
            <v xml:space="preserve">AGS.71142 </v>
          </cell>
          <cell r="C284" t="str">
            <v>CURVA 90° PARA ELETRODUTO DE PVC RIGIDO, 1"</v>
          </cell>
          <cell r="D284" t="str">
            <v xml:space="preserve">UN </v>
          </cell>
          <cell r="E284">
            <v>6</v>
          </cell>
          <cell r="F284">
            <v>3.48</v>
          </cell>
          <cell r="G284">
            <v>3.086658211906129</v>
          </cell>
          <cell r="P284">
            <v>3.086658211906129</v>
          </cell>
        </row>
        <row r="285">
          <cell r="A285">
            <v>25015000</v>
          </cell>
          <cell r="B285" t="str">
            <v xml:space="preserve">AGS.71144 </v>
          </cell>
          <cell r="C285" t="str">
            <v>CURVA 90° PARA ELETRODUTO DE PVC RIGIDO, 1 1/2"</v>
          </cell>
          <cell r="D285" t="str">
            <v xml:space="preserve">UN </v>
          </cell>
          <cell r="E285">
            <v>2</v>
          </cell>
          <cell r="F285">
            <v>9.8000000000000007</v>
          </cell>
          <cell r="G285">
            <v>8.6923133553678351</v>
          </cell>
          <cell r="P285">
            <v>8.6923133553678351</v>
          </cell>
        </row>
        <row r="286">
          <cell r="A286">
            <v>25016000</v>
          </cell>
          <cell r="B286" t="str">
            <v xml:space="preserve">AGS.71146 </v>
          </cell>
          <cell r="C286" t="str">
            <v>CURVA 90° PARA ELETRODUTO DE PVC RIGIDO, 1/2"</v>
          </cell>
          <cell r="D286" t="str">
            <v xml:space="preserve">UN </v>
          </cell>
          <cell r="E286">
            <v>6</v>
          </cell>
          <cell r="F286">
            <v>3.48</v>
          </cell>
          <cell r="G286">
            <v>3.086658211906129</v>
          </cell>
          <cell r="P286">
            <v>3.086658211906129</v>
          </cell>
        </row>
        <row r="287">
          <cell r="A287">
            <v>25017000</v>
          </cell>
          <cell r="B287" t="str">
            <v xml:space="preserve">AGS.71440 </v>
          </cell>
          <cell r="C287" t="str">
            <v>INTERRUPTOR 1 SEÇÃO SIMPLES, COM PLACA, REF.PIAL LEGRAND LINHA SILENTOQUE CÓD. 1100 OU EQUIVALENTE</v>
          </cell>
          <cell r="D287" t="str">
            <v xml:space="preserve">UN </v>
          </cell>
          <cell r="E287">
            <v>10</v>
          </cell>
          <cell r="F287">
            <v>6.88</v>
          </cell>
          <cell r="G287">
            <v>6.1023587637684384</v>
          </cell>
          <cell r="P287">
            <v>6.1023587637684384</v>
          </cell>
        </row>
        <row r="288">
          <cell r="A288">
            <v>25018000</v>
          </cell>
          <cell r="B288" t="str">
            <v xml:space="preserve">AGS.71441 </v>
          </cell>
          <cell r="C288" t="str">
            <v>INTERRUPTOR 2 SEÇÕES SIMPLES, COM PLACA, REF. PIAL LEGRAND LINHA SILENTOQUE CÓD. 2100 OU EQUIVALENTE</v>
          </cell>
          <cell r="D288" t="str">
            <v xml:space="preserve">UN </v>
          </cell>
          <cell r="E288">
            <v>3</v>
          </cell>
          <cell r="F288">
            <v>9.33</v>
          </cell>
          <cell r="G288">
            <v>8.2754371026103968</v>
          </cell>
          <cell r="P288">
            <v>8.2754371026103968</v>
          </cell>
        </row>
        <row r="289">
          <cell r="A289">
            <v>25019000</v>
          </cell>
          <cell r="B289" t="str">
            <v xml:space="preserve">AGS.71442 </v>
          </cell>
          <cell r="C289" t="str">
            <v>INTERRUPTOR 3 SEÇÕES SIMPLES, COM PLACA, REF. PIAL LEGRAND LINHA SILENTOQUE CÓD. 3100 OU EQUIVALENTE</v>
          </cell>
          <cell r="D289" t="str">
            <v xml:space="preserve">UN </v>
          </cell>
          <cell r="E289">
            <v>4</v>
          </cell>
          <cell r="F289">
            <v>17.98</v>
          </cell>
          <cell r="G289">
            <v>15.947734094848334</v>
          </cell>
          <cell r="P289">
            <v>15.947734094848334</v>
          </cell>
        </row>
        <row r="290">
          <cell r="A290">
            <v>25020000</v>
          </cell>
          <cell r="B290" t="str">
            <v xml:space="preserve">AGS.71741 </v>
          </cell>
          <cell r="C290" t="str">
            <v>LUVA PARA ELETRODUTO DE PVC RIGIDO, 3/4"</v>
          </cell>
          <cell r="D290" t="str">
            <v xml:space="preserve">UN </v>
          </cell>
          <cell r="E290">
            <v>914</v>
          </cell>
          <cell r="F290">
            <v>1.88</v>
          </cell>
          <cell r="G290">
            <v>1.6675050110297478</v>
          </cell>
          <cell r="P290">
            <v>1.6675050110297478</v>
          </cell>
        </row>
        <row r="291">
          <cell r="A291">
            <v>25021000</v>
          </cell>
          <cell r="B291" t="str">
            <v xml:space="preserve">AGS.71742 </v>
          </cell>
          <cell r="C291" t="str">
            <v>LUVA PARA ELETRODUTO DE PVC RIGIDO, 1"</v>
          </cell>
          <cell r="D291" t="str">
            <v xml:space="preserve">UN </v>
          </cell>
          <cell r="E291">
            <v>12</v>
          </cell>
          <cell r="F291">
            <v>2.57</v>
          </cell>
          <cell r="G291">
            <v>2.2795148289076872</v>
          </cell>
          <cell r="P291">
            <v>2.2795148289076872</v>
          </cell>
        </row>
        <row r="292">
          <cell r="A292">
            <v>25022000</v>
          </cell>
          <cell r="B292" t="str">
            <v xml:space="preserve">AGS.71744 </v>
          </cell>
          <cell r="C292" t="str">
            <v>LUVA PARA ELETRODUTO DE PVC RIGIDO, 1 1/2"</v>
          </cell>
          <cell r="D292" t="str">
            <v xml:space="preserve">UN </v>
          </cell>
          <cell r="E292">
            <v>4</v>
          </cell>
          <cell r="F292">
            <v>5.17</v>
          </cell>
          <cell r="G292">
            <v>4.5856387803318066</v>
          </cell>
          <cell r="P292">
            <v>4.5856387803318066</v>
          </cell>
        </row>
        <row r="293">
          <cell r="A293">
            <v>25023000</v>
          </cell>
          <cell r="B293" t="str">
            <v xml:space="preserve">AGS.71746 </v>
          </cell>
          <cell r="C293" t="str">
            <v>LUVA PARA ELETRODUTO DE PVC RIGIDO, 1/2"</v>
          </cell>
          <cell r="D293" t="str">
            <v xml:space="preserve">UN </v>
          </cell>
          <cell r="E293">
            <v>12</v>
          </cell>
          <cell r="F293">
            <v>1.41</v>
          </cell>
          <cell r="G293">
            <v>1.2506287582723108</v>
          </cell>
          <cell r="P293">
            <v>1.2506287582723108</v>
          </cell>
        </row>
        <row r="294">
          <cell r="A294">
            <v>25024000</v>
          </cell>
          <cell r="B294" t="str">
            <v xml:space="preserve">AGS.74043/005 </v>
          </cell>
          <cell r="C294" t="str">
            <v>CAIXA METÁLICA ESMALTADA - 4"X4"X2"</v>
          </cell>
          <cell r="D294" t="str">
            <v xml:space="preserve">UN </v>
          </cell>
          <cell r="E294">
            <v>1</v>
          </cell>
          <cell r="F294">
            <v>6.91</v>
          </cell>
          <cell r="G294">
            <v>6.1289678862848715</v>
          </cell>
          <cell r="P294">
            <v>6.1289678862848715</v>
          </cell>
        </row>
        <row r="295">
          <cell r="A295">
            <v>25025000</v>
          </cell>
          <cell r="B295" t="str">
            <v xml:space="preserve">AGS.74043/006 </v>
          </cell>
          <cell r="C295" t="str">
            <v>CAIXA METÁLICA ESMALTADA - 4"X2"X2"</v>
          </cell>
          <cell r="D295" t="str">
            <v xml:space="preserve">UN </v>
          </cell>
          <cell r="E295">
            <v>125</v>
          </cell>
          <cell r="F295">
            <v>6.26</v>
          </cell>
          <cell r="G295">
            <v>5.5524368984288408</v>
          </cell>
          <cell r="P295">
            <v>5.5524368984288408</v>
          </cell>
        </row>
        <row r="296">
          <cell r="A296">
            <v>25026000</v>
          </cell>
          <cell r="B296" t="str">
            <v xml:space="preserve">AGT.70589B </v>
          </cell>
          <cell r="C296" t="str">
            <v>CABO EPR/XLPE 90 1 KV No. 25 MM2 (FASE)</v>
          </cell>
          <cell r="D296" t="str">
            <v xml:space="preserve">M </v>
          </cell>
          <cell r="E296">
            <v>91.45</v>
          </cell>
          <cell r="F296">
            <v>10.48</v>
          </cell>
          <cell r="G296">
            <v>9.2954534657402963</v>
          </cell>
          <cell r="P296">
            <v>9.2954534657402963</v>
          </cell>
        </row>
        <row r="297">
          <cell r="A297">
            <v>25027000</v>
          </cell>
          <cell r="B297" t="str">
            <v xml:space="preserve">AGT.70589C </v>
          </cell>
          <cell r="C297" t="str">
            <v>CABO EPR/XLPE 90 1 KV No. 25 MM2 (NEUTRO)</v>
          </cell>
          <cell r="D297" t="str">
            <v xml:space="preserve">M </v>
          </cell>
          <cell r="E297">
            <v>30.48</v>
          </cell>
          <cell r="F297">
            <v>10.48</v>
          </cell>
          <cell r="G297">
            <v>9.2954534657402963</v>
          </cell>
          <cell r="P297">
            <v>9.2954534657402963</v>
          </cell>
        </row>
        <row r="298">
          <cell r="A298">
            <v>25028000</v>
          </cell>
          <cell r="B298" t="str">
            <v xml:space="preserve">AGT.70589F </v>
          </cell>
          <cell r="C298" t="str">
            <v>CABO EPR/XLPE 90 1 KV No. 16 MM2 (TERRA)</v>
          </cell>
          <cell r="D298" t="str">
            <v xml:space="preserve">M </v>
          </cell>
          <cell r="E298">
            <v>30.48</v>
          </cell>
          <cell r="F298">
            <v>7.59</v>
          </cell>
          <cell r="G298">
            <v>6.7321079966573327</v>
          </cell>
          <cell r="P298">
            <v>6.7321079966573327</v>
          </cell>
        </row>
        <row r="299">
          <cell r="A299">
            <v>25029000</v>
          </cell>
          <cell r="B299" t="str">
            <v xml:space="preserve">AGT.71241 </v>
          </cell>
          <cell r="C299" t="str">
            <v>ELETRODUTO PVC FLEXIVEL (MANGUEIRA) DIAM.3/4"</v>
          </cell>
          <cell r="D299" t="str">
            <v xml:space="preserve">M </v>
          </cell>
          <cell r="E299">
            <v>102.35</v>
          </cell>
          <cell r="F299">
            <v>3.79</v>
          </cell>
          <cell r="G299">
            <v>3.3616191445759278</v>
          </cell>
          <cell r="P299">
            <v>3.3616191445759278</v>
          </cell>
        </row>
        <row r="300">
          <cell r="A300">
            <v>25030000</v>
          </cell>
          <cell r="B300" t="str">
            <v xml:space="preserve">AGT.72319 </v>
          </cell>
          <cell r="C300" t="str">
            <v>DISJUNTOR DR TRIPOLAR 40A</v>
          </cell>
          <cell r="D300" t="str">
            <v xml:space="preserve">UN </v>
          </cell>
          <cell r="E300">
            <v>2</v>
          </cell>
          <cell r="F300">
            <v>46</v>
          </cell>
          <cell r="G300">
            <v>40.800654525195959</v>
          </cell>
          <cell r="P300">
            <v>40.800654525195959</v>
          </cell>
        </row>
        <row r="301">
          <cell r="A301">
            <v>25031000</v>
          </cell>
          <cell r="B301" t="str">
            <v xml:space="preserve">COT.127D </v>
          </cell>
          <cell r="C301" t="str">
            <v>DUTO AÉREO PERFURADO U SRS-200-B10 100mmx50mm</v>
          </cell>
          <cell r="D301" t="str">
            <v xml:space="preserve">M </v>
          </cell>
          <cell r="E301">
            <v>82</v>
          </cell>
          <cell r="F301">
            <v>37.43</v>
          </cell>
          <cell r="G301">
            <v>33.199315193001844</v>
          </cell>
          <cell r="P301">
            <v>33.199315193001844</v>
          </cell>
        </row>
        <row r="302">
          <cell r="A302">
            <v>25032000</v>
          </cell>
          <cell r="B302" t="str">
            <v>COT.CULTURA02</v>
          </cell>
          <cell r="C302" t="str">
            <v>DUTO AÉREO 100MM X 100M ESPESSURA DE CHAPA DE 2MM, COMPRIMENTO 12M, (PARA INSTALAÇÃO DAS TOMADAS AÉREAS SOBRE O URDIMENTO E SOB TETO DA PLATEIA)</v>
          </cell>
          <cell r="D302" t="str">
            <v xml:space="preserve">M </v>
          </cell>
          <cell r="E302">
            <v>12</v>
          </cell>
          <cell r="F302">
            <v>37.43</v>
          </cell>
          <cell r="G302">
            <v>33.199315193001844</v>
          </cell>
          <cell r="P302">
            <v>33.199315193001844</v>
          </cell>
        </row>
        <row r="303">
          <cell r="A303">
            <v>25033000</v>
          </cell>
          <cell r="B303" t="str">
            <v>COT.CULTURA03</v>
          </cell>
          <cell r="C303" t="str">
            <v>DUTO AÉREO 250MM X 100MM (PARA DISTRIBUIÇÃO DOS CIRCUITOS DA CABINE ATÉ O FUNDO DO PALCO)</v>
          </cell>
          <cell r="D303" t="str">
            <v xml:space="preserve">M </v>
          </cell>
          <cell r="E303">
            <v>20</v>
          </cell>
          <cell r="F303">
            <v>37.43</v>
          </cell>
          <cell r="G303">
            <v>33.199315193001844</v>
          </cell>
          <cell r="P303">
            <v>33.199315193001844</v>
          </cell>
        </row>
        <row r="304">
          <cell r="A304">
            <v>25034000</v>
          </cell>
          <cell r="B304" t="str">
            <v xml:space="preserve">COT.71278 </v>
          </cell>
          <cell r="C304" t="str">
            <v>EMENDA TIPO U P/ ELETROCALHA 100X50MM</v>
          </cell>
          <cell r="D304" t="str">
            <v xml:space="preserve">UN </v>
          </cell>
          <cell r="E304">
            <v>35</v>
          </cell>
          <cell r="F304">
            <v>2.19</v>
          </cell>
          <cell r="G304">
            <v>1.9424659436995466</v>
          </cell>
          <cell r="P304">
            <v>1.9424659436995466</v>
          </cell>
        </row>
        <row r="305">
          <cell r="A305">
            <v>25035000</v>
          </cell>
          <cell r="B305" t="str">
            <v xml:space="preserve">COT.72319C </v>
          </cell>
          <cell r="C305" t="str">
            <v>DISJUNTOR DR TRIPOLAR 70A</v>
          </cell>
          <cell r="D305" t="str">
            <v xml:space="preserve">UN </v>
          </cell>
          <cell r="E305">
            <v>2</v>
          </cell>
          <cell r="F305">
            <v>64.31</v>
          </cell>
          <cell r="G305">
            <v>57.041088967725045</v>
          </cell>
          <cell r="P305">
            <v>57.041088967725045</v>
          </cell>
        </row>
        <row r="306">
          <cell r="A306">
            <v>25036000</v>
          </cell>
          <cell r="B306" t="str">
            <v xml:space="preserve">COT.72334E </v>
          </cell>
          <cell r="C306" t="str">
            <v>CÉLULA FOTOVOLTÁICA</v>
          </cell>
          <cell r="D306" t="str">
            <v xml:space="preserve">UN </v>
          </cell>
          <cell r="E306">
            <v>23</v>
          </cell>
          <cell r="F306">
            <v>25.87</v>
          </cell>
          <cell r="G306">
            <v>22.94593331666999</v>
          </cell>
          <cell r="P306">
            <v>22.94593331666999</v>
          </cell>
        </row>
        <row r="307">
          <cell r="A307">
            <v>25037000</v>
          </cell>
          <cell r="B307" t="str">
            <v xml:space="preserve">COT.ELE.001 </v>
          </cell>
          <cell r="C307" t="str">
            <v>REATOR INVERSOR DE EMERGÊNCIA COD. 02466 INTRAL OU EQUIVALENTE TÉCNICOU</v>
          </cell>
          <cell r="D307" t="str">
            <v xml:space="preserve">UN </v>
          </cell>
          <cell r="E307">
            <v>28</v>
          </cell>
          <cell r="F307">
            <v>136.38</v>
          </cell>
          <cell r="G307">
            <v>120.96507095970054</v>
          </cell>
          <cell r="P307">
            <v>120.96507095970054</v>
          </cell>
        </row>
        <row r="308">
          <cell r="A308">
            <v>25038000</v>
          </cell>
          <cell r="B308" t="str">
            <v xml:space="preserve">CPS.72339 </v>
          </cell>
          <cell r="C308" t="str">
            <v>TOMADA UNIVERSAL 2P+T, NO PISO, PADRÃO ABNT, C/ PLACA, 10A-250V - CONFORME NORMA NBR 14136</v>
          </cell>
          <cell r="D308" t="str">
            <v xml:space="preserve">UN </v>
          </cell>
          <cell r="E308">
            <v>70</v>
          </cell>
          <cell r="F308">
            <v>17.489999999999998</v>
          </cell>
          <cell r="G308">
            <v>15.51311842707994</v>
          </cell>
          <cell r="P308">
            <v>15.51311842707994</v>
          </cell>
        </row>
        <row r="309">
          <cell r="A309">
            <v>25039000</v>
          </cell>
          <cell r="B309" t="str">
            <v xml:space="preserve">CPS.72339A </v>
          </cell>
          <cell r="C309" t="str">
            <v>TOMADAS 2P+T H=130CM COM PLACA - CONFORME NBR 14136</v>
          </cell>
          <cell r="D309" t="str">
            <v xml:space="preserve">UN </v>
          </cell>
          <cell r="E309">
            <v>16</v>
          </cell>
          <cell r="F309">
            <v>17.489999999999998</v>
          </cell>
          <cell r="G309">
            <v>15.51311842707994</v>
          </cell>
          <cell r="P309">
            <v>15.51311842707994</v>
          </cell>
        </row>
        <row r="310">
          <cell r="A310">
            <v>25040000</v>
          </cell>
          <cell r="B310" t="str">
            <v xml:space="preserve">CPS.72339B </v>
          </cell>
          <cell r="C310" t="str">
            <v>TOMADAS 2P+T COM PLACA PARA AR CONDICIONADO, 150W - CONFORME NBR 14136</v>
          </cell>
          <cell r="D310" t="str">
            <v xml:space="preserve">UN </v>
          </cell>
          <cell r="E310">
            <v>3</v>
          </cell>
          <cell r="F310">
            <v>17.489999999999998</v>
          </cell>
          <cell r="G310">
            <v>15.51311842707994</v>
          </cell>
          <cell r="P310">
            <v>15.51311842707994</v>
          </cell>
        </row>
        <row r="311">
          <cell r="A311">
            <v>25041000</v>
          </cell>
          <cell r="B311" t="str">
            <v xml:space="preserve">CPS.72339C </v>
          </cell>
          <cell r="C311" t="str">
            <v>TOMADAS 2P+T H=30CM COM PLACA - CONFORME NBR 14136</v>
          </cell>
          <cell r="D311" t="str">
            <v xml:space="preserve">UN </v>
          </cell>
          <cell r="E311">
            <v>74</v>
          </cell>
          <cell r="F311">
            <v>17.489999999999998</v>
          </cell>
          <cell r="G311">
            <v>15.51311842707994</v>
          </cell>
          <cell r="P311">
            <v>15.51311842707994</v>
          </cell>
        </row>
        <row r="312">
          <cell r="A312">
            <v>25042000</v>
          </cell>
          <cell r="B312" t="str">
            <v xml:space="preserve">CPS.73860/008A </v>
          </cell>
          <cell r="C312" t="str">
            <v>CABO DE COBRE ISOLADO PVC RESISTENTE A CHAMA 450/750 V 2,5 MM2 FORNECIMENTO E INSTALACAO (FASE - PRETO)</v>
          </cell>
          <cell r="D312" t="str">
            <v xml:space="preserve">M </v>
          </cell>
          <cell r="E312">
            <v>2164.86</v>
          </cell>
          <cell r="F312">
            <v>1.58</v>
          </cell>
          <cell r="G312">
            <v>1.4014137858654265</v>
          </cell>
          <cell r="P312">
            <v>1.4014137858654265</v>
          </cell>
        </row>
        <row r="313">
          <cell r="A313">
            <v>25043000</v>
          </cell>
          <cell r="B313" t="str">
            <v xml:space="preserve">CPS.73860/008B </v>
          </cell>
          <cell r="C313" t="str">
            <v>CABO DE COBRE ISOLADO PVC RESISTENTE A CHAMA 450/750 V 2,5 MM2 FORNECIMENTO E INSTALACAO (NEUTRO - AZUL)</v>
          </cell>
          <cell r="D313" t="str">
            <v xml:space="preserve">M </v>
          </cell>
          <cell r="E313">
            <v>2264.5700000000002</v>
          </cell>
          <cell r="F313">
            <v>1.58</v>
          </cell>
          <cell r="G313">
            <v>1.4014137858654265</v>
          </cell>
          <cell r="P313">
            <v>1.4014137858654265</v>
          </cell>
        </row>
        <row r="314">
          <cell r="A314">
            <v>25044000</v>
          </cell>
          <cell r="B314" t="str">
            <v xml:space="preserve">CPS.73860/008C </v>
          </cell>
          <cell r="C314" t="str">
            <v>CABO DE COBRE ISOLADO PVC RESISTENTE A CHAMA 450/750 V 2,5 MM2 FORNECIMENTO E INSTALACAO (RETORNO - BRANCO)</v>
          </cell>
          <cell r="D314" t="str">
            <v xml:space="preserve">M </v>
          </cell>
          <cell r="E314">
            <v>440.77</v>
          </cell>
          <cell r="F314">
            <v>1.58</v>
          </cell>
          <cell r="G314">
            <v>1.4014137858654265</v>
          </cell>
          <cell r="P314">
            <v>1.4014137858654265</v>
          </cell>
        </row>
        <row r="315">
          <cell r="A315">
            <v>25045000</v>
          </cell>
          <cell r="B315" t="str">
            <v xml:space="preserve">CPS.73860/008D </v>
          </cell>
          <cell r="C315" t="str">
            <v>CABO DE COBRE ISOLADO PVC RESISTENTE A CHAMA 450/750 V 2,5 MM2 FORNECIMENTO E INSTALACAO (TERRA - VERDE)</v>
          </cell>
          <cell r="D315" t="str">
            <v xml:space="preserve">M </v>
          </cell>
          <cell r="E315">
            <v>2264.5700000000002</v>
          </cell>
          <cell r="F315">
            <v>1.58</v>
          </cell>
          <cell r="G315">
            <v>1.4014137858654265</v>
          </cell>
          <cell r="P315">
            <v>1.4014137858654265</v>
          </cell>
        </row>
        <row r="316">
          <cell r="A316">
            <v>25046000</v>
          </cell>
          <cell r="B316" t="str">
            <v xml:space="preserve">CPS.73860/009A </v>
          </cell>
          <cell r="C316" t="str">
            <v>CABO DE COBRE ISOLADO PVC RESISTENTE A CHAMA 450/750 V 4 MM2 FORNECIMENTO E INSTALACAO (FASE - PRETO)</v>
          </cell>
          <cell r="D316" t="str">
            <v xml:space="preserve">M </v>
          </cell>
          <cell r="E316">
            <v>442.73</v>
          </cell>
          <cell r="F316">
            <v>2.3199999999999998</v>
          </cell>
          <cell r="G316">
            <v>2.0577721412707524</v>
          </cell>
          <cell r="P316">
            <v>2.0577721412707524</v>
          </cell>
        </row>
        <row r="317">
          <cell r="A317">
            <v>25047000</v>
          </cell>
          <cell r="B317" t="str">
            <v xml:space="preserve">CPS.73860/009B </v>
          </cell>
          <cell r="C317" t="str">
            <v>CABO DE COBRE ISOLADO PVC RESISTENTE A CHAMA 450/750 V 4 MM2 FORNECIMENTO E INSTALACAO (NEUTRO - AZUL)</v>
          </cell>
          <cell r="D317" t="str">
            <v xml:space="preserve">M </v>
          </cell>
          <cell r="E317">
            <v>497.41</v>
          </cell>
          <cell r="F317">
            <v>2.3199999999999998</v>
          </cell>
          <cell r="G317">
            <v>2.0577721412707524</v>
          </cell>
          <cell r="P317">
            <v>2.0577721412707524</v>
          </cell>
        </row>
        <row r="318">
          <cell r="A318">
            <v>25048000</v>
          </cell>
          <cell r="B318" t="str">
            <v xml:space="preserve">CPS.73860/009C </v>
          </cell>
          <cell r="C318" t="str">
            <v>CABO DE COBRE ISOLADO PVC RESISTENTE A CHAMA 450/750 V 4 MM2 FORNECIMENTO E INSTALACAO (RETORNO - BRANCO)</v>
          </cell>
          <cell r="D318" t="str">
            <v xml:space="preserve">M </v>
          </cell>
          <cell r="E318">
            <v>169.28</v>
          </cell>
          <cell r="F318">
            <v>2.3199999999999998</v>
          </cell>
          <cell r="G318">
            <v>2.0577721412707524</v>
          </cell>
          <cell r="P318">
            <v>2.0577721412707524</v>
          </cell>
        </row>
        <row r="319">
          <cell r="A319">
            <v>25049000</v>
          </cell>
          <cell r="B319" t="str">
            <v xml:space="preserve">CPS.73860/009D </v>
          </cell>
          <cell r="C319" t="str">
            <v>CABO DE COBRE ISOLADO PVC RESISTENTE A CHAMA 450/750 V 4 MM2 FORNECIMENTO E INSTALACAO (TERRA - VERDE)</v>
          </cell>
          <cell r="D319" t="str">
            <v xml:space="preserve">M </v>
          </cell>
          <cell r="E319">
            <v>497.41</v>
          </cell>
          <cell r="F319">
            <v>2.3199999999999998</v>
          </cell>
          <cell r="G319">
            <v>2.0577721412707524</v>
          </cell>
          <cell r="P319">
            <v>2.0577721412707524</v>
          </cell>
        </row>
        <row r="320">
          <cell r="A320">
            <v>25050000</v>
          </cell>
          <cell r="B320" t="str">
            <v xml:space="preserve">CPS.73860/011A </v>
          </cell>
          <cell r="C320" t="str">
            <v>CABO DE COBRE ISOLADO PVC RESISTENTE A CHAMA 450/750 V 10 MM2 FORNECIMENTO E INSTALACAO (FASE - PRETO)</v>
          </cell>
          <cell r="D320" t="str">
            <v xml:space="preserve">M </v>
          </cell>
          <cell r="E320">
            <v>348.09</v>
          </cell>
          <cell r="F320">
            <v>4.8600000000000003</v>
          </cell>
          <cell r="G320">
            <v>4.3106778476620082</v>
          </cell>
          <cell r="P320">
            <v>4.3106778476620082</v>
          </cell>
        </row>
        <row r="321">
          <cell r="A321">
            <v>25051000</v>
          </cell>
          <cell r="B321" t="str">
            <v xml:space="preserve">CPS.73860/011B </v>
          </cell>
          <cell r="C321" t="str">
            <v>CABO DE COBRE ISOLADO PVC RESISTENTE A CHAMA 450/750 V 10 MM2 FORNECIMENTO E INSTALACAO (NEUTRO - AZUL)</v>
          </cell>
          <cell r="D321" t="str">
            <v xml:space="preserve">M </v>
          </cell>
          <cell r="E321">
            <v>116.03</v>
          </cell>
          <cell r="F321">
            <v>4.8600000000000003</v>
          </cell>
          <cell r="G321">
            <v>4.3106778476620082</v>
          </cell>
          <cell r="P321">
            <v>4.3106778476620082</v>
          </cell>
        </row>
        <row r="322">
          <cell r="A322">
            <v>25052000</v>
          </cell>
          <cell r="B322" t="str">
            <v xml:space="preserve">CPS.73860/011D </v>
          </cell>
          <cell r="C322" t="str">
            <v>CABO DE COBRE ISOLADO PVC RESISTENTE A CHAMA 450/750 V 10 MM2 FORNECIMENTO E INSTALACAO (VERDE - TERRA)</v>
          </cell>
          <cell r="D322" t="str">
            <v xml:space="preserve">M </v>
          </cell>
          <cell r="E322">
            <v>116.03</v>
          </cell>
          <cell r="F322">
            <v>4.8600000000000003</v>
          </cell>
          <cell r="G322">
            <v>4.3106778476620082</v>
          </cell>
          <cell r="P322">
            <v>4.3106778476620082</v>
          </cell>
        </row>
        <row r="323">
          <cell r="A323">
            <v>25053000</v>
          </cell>
          <cell r="B323" t="str">
            <v xml:space="preserve">CPS.73860/012A </v>
          </cell>
          <cell r="C323" t="str">
            <v>CABO DE COBRE ISOLADO PVC RESISTENTE A CHAMA 450/750 V 16 MM2 FORNECIMENTO E INSTALACAO (PRETO - FASE)</v>
          </cell>
          <cell r="D323" t="str">
            <v xml:space="preserve">M </v>
          </cell>
          <cell r="E323">
            <v>52.52</v>
          </cell>
          <cell r="F323">
            <v>5.59</v>
          </cell>
          <cell r="G323">
            <v>4.9581664955618567</v>
          </cell>
          <cell r="P323">
            <v>4.9581664955618567</v>
          </cell>
        </row>
        <row r="324">
          <cell r="A324">
            <v>25054000</v>
          </cell>
          <cell r="B324" t="str">
            <v xml:space="preserve">CPS.73860/012B </v>
          </cell>
          <cell r="C324" t="str">
            <v>CABO DE COBRE ISOLADO PVC RESISTENTE A CHAMA 450/750 V 16 MM2 FORNECIMENTO E INSTALACAO (AZUL - NEUTRO)</v>
          </cell>
          <cell r="D324" t="str">
            <v xml:space="preserve">M </v>
          </cell>
          <cell r="E324">
            <v>17.510000000000002</v>
          </cell>
          <cell r="F324">
            <v>5.59</v>
          </cell>
          <cell r="G324">
            <v>4.9581664955618567</v>
          </cell>
          <cell r="P324">
            <v>4.9581664955618567</v>
          </cell>
        </row>
        <row r="325">
          <cell r="A325">
            <v>25055000</v>
          </cell>
          <cell r="B325" t="str">
            <v xml:space="preserve">CPS.73860/012D </v>
          </cell>
          <cell r="C325" t="str">
            <v>CABO DE COBRE ISOLADO PVC RESISTENTE A CHAMA 450/750 V 16 MM2 FORNECIMENTO E INSTALACAO (VERDE - TERRA)</v>
          </cell>
          <cell r="D325" t="str">
            <v xml:space="preserve">M </v>
          </cell>
          <cell r="E325">
            <v>17.510000000000002</v>
          </cell>
          <cell r="F325">
            <v>5.59</v>
          </cell>
          <cell r="G325">
            <v>4.9581664955618567</v>
          </cell>
          <cell r="P325">
            <v>4.9581664955618567</v>
          </cell>
        </row>
        <row r="326">
          <cell r="A326">
            <v>25056000</v>
          </cell>
          <cell r="B326" t="str">
            <v xml:space="preserve">CPS.74130/001 </v>
          </cell>
          <cell r="C326" t="str">
            <v>DISJUNTOR MONOPOLAR, 16A</v>
          </cell>
          <cell r="D326" t="str">
            <v xml:space="preserve">UN </v>
          </cell>
          <cell r="E326">
            <v>13</v>
          </cell>
          <cell r="F326">
            <v>7.4</v>
          </cell>
          <cell r="G326">
            <v>6.5635835540532632</v>
          </cell>
          <cell r="P326">
            <v>6.5635835540532632</v>
          </cell>
        </row>
        <row r="327">
          <cell r="A327">
            <v>25057000</v>
          </cell>
          <cell r="B327" t="str">
            <v xml:space="preserve">CPS.74130/001B </v>
          </cell>
          <cell r="C327" t="str">
            <v>DISJUNTOR A SECO 1P20A</v>
          </cell>
          <cell r="D327" t="str">
            <v xml:space="preserve">UN </v>
          </cell>
          <cell r="E327">
            <v>2</v>
          </cell>
          <cell r="F327">
            <v>7.4</v>
          </cell>
          <cell r="G327">
            <v>6.5635835540532632</v>
          </cell>
          <cell r="P327">
            <v>6.5635835540532632</v>
          </cell>
        </row>
        <row r="328">
          <cell r="A328">
            <v>25058000</v>
          </cell>
          <cell r="B328" t="str">
            <v xml:space="preserve">CPS.74130/001D </v>
          </cell>
          <cell r="C328" t="str">
            <v>DISJUNTOR TERMOMAGNÉTICO MONOPOLAR 10A - DIN</v>
          </cell>
          <cell r="D328" t="str">
            <v xml:space="preserve">UN </v>
          </cell>
          <cell r="E328">
            <v>33</v>
          </cell>
          <cell r="F328">
            <v>7.4</v>
          </cell>
          <cell r="G328">
            <v>6.5635835540532632</v>
          </cell>
          <cell r="P328">
            <v>6.5635835540532632</v>
          </cell>
        </row>
        <row r="329">
          <cell r="A329">
            <v>25059000</v>
          </cell>
          <cell r="B329" t="str">
            <v xml:space="preserve">CPS.74130/004 </v>
          </cell>
          <cell r="C329" t="str">
            <v>DISJUNTOR A SECO TRIPOLAR 40A - DIN</v>
          </cell>
          <cell r="D329" t="str">
            <v xml:space="preserve">UN </v>
          </cell>
          <cell r="E329">
            <v>4</v>
          </cell>
          <cell r="F329">
            <v>9.92</v>
          </cell>
          <cell r="G329">
            <v>8.7987498454335622</v>
          </cell>
          <cell r="P329">
            <v>8.7987498454335622</v>
          </cell>
        </row>
        <row r="330">
          <cell r="A330">
            <v>25060000</v>
          </cell>
          <cell r="B330" t="str">
            <v xml:space="preserve">CPS.74131/005A </v>
          </cell>
          <cell r="C330" t="str">
            <v>QUADRO DE DISTRIBUIÇÃO COM BARRAMENTO + GERAL, PARA DISJUNTORES DIN, PADRÃO EMBUTIR,CAPACIDADE DO BARRAMENTO 100A, PARA 24 DISJUNTORES, COMPLETO, REF. CEMAR LEGRANDQDETG-U 904022</v>
          </cell>
          <cell r="D330" t="str">
            <v xml:space="preserve">UN </v>
          </cell>
          <cell r="E330">
            <v>3</v>
          </cell>
          <cell r="F330">
            <v>315.69</v>
          </cell>
          <cell r="G330">
            <v>280.00779624041547</v>
          </cell>
          <cell r="P330">
            <v>280.00779624041547</v>
          </cell>
        </row>
        <row r="331">
          <cell r="A331">
            <v>25061000</v>
          </cell>
          <cell r="B331" t="str">
            <v xml:space="preserve">CPS.74131/007 </v>
          </cell>
          <cell r="C331" t="str">
            <v>QUADRO DE DISTRIBUIÇÃO COM BARRAMENTO + GERAL, PARA DISJUNTORES DIN, PADRÃO EMBUTIR, CAPACIDADE DO BARRAMENTO 100A, PARA 36 DISJUNTORES, COMPLETO, REF. CEMAR LEGRANDDIN/UL - QDETG-U 904026</v>
          </cell>
          <cell r="D331" t="str">
            <v xml:space="preserve">UN </v>
          </cell>
          <cell r="E331">
            <v>1</v>
          </cell>
          <cell r="F331">
            <v>517.41999999999996</v>
          </cell>
          <cell r="G331">
            <v>458.93640574841066</v>
          </cell>
          <cell r="P331">
            <v>458.93640574841066</v>
          </cell>
        </row>
        <row r="332">
          <cell r="A332">
            <v>25062000</v>
          </cell>
          <cell r="B332" t="str">
            <v xml:space="preserve">CPS.74248/001 </v>
          </cell>
          <cell r="C332" t="str">
            <v>CAIXA DE PASSAGEM EM ALVENARIA COM TAMPA METÁLICA 60X40X40 CM</v>
          </cell>
          <cell r="D332" t="str">
            <v xml:space="preserve">UN </v>
          </cell>
          <cell r="E332">
            <v>6</v>
          </cell>
          <cell r="F332">
            <v>123.9</v>
          </cell>
          <cell r="G332">
            <v>109.89567599286477</v>
          </cell>
          <cell r="P332">
            <v>109.89567599286477</v>
          </cell>
        </row>
        <row r="333">
          <cell r="A333">
            <v>26000000</v>
          </cell>
          <cell r="C333" t="str">
            <v xml:space="preserve">ELÉTRICA – PE-SPDA-PEC </v>
          </cell>
          <cell r="G333">
            <v>0</v>
          </cell>
        </row>
        <row r="334">
          <cell r="A334">
            <v>26001000</v>
          </cell>
          <cell r="B334">
            <v>72253</v>
          </cell>
          <cell r="C334" t="str">
            <v>CABO DE COBRE NU 35 MM2</v>
          </cell>
          <cell r="D334" t="str">
            <v xml:space="preserve">M </v>
          </cell>
          <cell r="E334">
            <v>400</v>
          </cell>
          <cell r="F334">
            <v>12.42</v>
          </cell>
          <cell r="G334">
            <v>11.016176721802909</v>
          </cell>
          <cell r="P334">
            <v>11.016176721802909</v>
          </cell>
        </row>
        <row r="335">
          <cell r="A335">
            <v>26002000</v>
          </cell>
          <cell r="B335">
            <v>72254</v>
          </cell>
          <cell r="C335" t="str">
            <v>CABO DE COBRE NU 50 MM2</v>
          </cell>
          <cell r="D335" t="str">
            <v xml:space="preserve">M </v>
          </cell>
          <cell r="E335">
            <v>40</v>
          </cell>
          <cell r="F335">
            <v>16.79</v>
          </cell>
          <cell r="G335">
            <v>14.892238901696524</v>
          </cell>
          <cell r="P335">
            <v>14.892238901696524</v>
          </cell>
        </row>
        <row r="336">
          <cell r="A336">
            <v>26003000</v>
          </cell>
          <cell r="B336" t="str">
            <v xml:space="preserve">AGS.4375 </v>
          </cell>
          <cell r="C336" t="str">
            <v>BUCHA DE NYLON Nº6 C/ PARAFUSO</v>
          </cell>
          <cell r="D336" t="str">
            <v xml:space="preserve">UN </v>
          </cell>
          <cell r="E336">
            <v>441</v>
          </cell>
          <cell r="F336">
            <v>0.94</v>
          </cell>
          <cell r="G336">
            <v>0.8337525055148739</v>
          </cell>
          <cell r="P336">
            <v>0.8337525055148739</v>
          </cell>
        </row>
        <row r="337">
          <cell r="A337">
            <v>26004000</v>
          </cell>
          <cell r="B337" t="str">
            <v xml:space="preserve">COT.1577 </v>
          </cell>
          <cell r="C337" t="str">
            <v>PRESILHA EM LATÃO ESTANHADO PARA FIXAÇÃO DIRETA DE CABOS, LARGURA 15MM, FURAÇÃO 5MM, PARA CABO #35,0MM2. REFERÊNCIA TERMOTÉCNICA TEL-744</v>
          </cell>
          <cell r="D337" t="str">
            <v xml:space="preserve">UN </v>
          </cell>
          <cell r="E337">
            <v>360</v>
          </cell>
          <cell r="F337">
            <v>7.05</v>
          </cell>
          <cell r="G337">
            <v>6.2531437913615546</v>
          </cell>
          <cell r="P337">
            <v>6.2531437913615546</v>
          </cell>
        </row>
        <row r="338">
          <cell r="A338">
            <v>26005000</v>
          </cell>
          <cell r="B338" t="str">
            <v xml:space="preserve">COT.1577A </v>
          </cell>
          <cell r="C338" t="str">
            <v>CLIPS GALVANIZADO PARA CONEXÃO DE BARRAS DE 8 A 10MM DE DIÂMETRO REF. : TEL - 5238 TERMOTÉCNICA OU EQUIVALENTE</v>
          </cell>
          <cell r="D338" t="str">
            <v xml:space="preserve">UN </v>
          </cell>
          <cell r="E338">
            <v>330</v>
          </cell>
          <cell r="F338">
            <v>14.84</v>
          </cell>
          <cell r="G338">
            <v>13.162645938128435</v>
          </cell>
          <cell r="P338">
            <v>13.162645938128435</v>
          </cell>
        </row>
        <row r="339">
          <cell r="A339">
            <v>26006000</v>
          </cell>
          <cell r="B339" t="str">
            <v xml:space="preserve">COT.1578 </v>
          </cell>
          <cell r="C339" t="str">
            <v>PARAFUSO FENDA EM AÇO INOX AUTOATARRACHANTE 4,2" X 32MM, REF. TERMOTÉCNICA TEL-5333</v>
          </cell>
          <cell r="D339" t="str">
            <v xml:space="preserve">UN </v>
          </cell>
          <cell r="E339">
            <v>441</v>
          </cell>
          <cell r="F339">
            <v>2.4</v>
          </cell>
          <cell r="G339">
            <v>2.1287298013145715</v>
          </cell>
          <cell r="P339">
            <v>2.1287298013145715</v>
          </cell>
        </row>
        <row r="340">
          <cell r="A340">
            <v>26007000</v>
          </cell>
          <cell r="B340" t="str">
            <v xml:space="preserve">COT.72315 </v>
          </cell>
          <cell r="C340" t="str">
            <v>SELANTE DE POLIURETANO, SIKAFLEX, REF. TERMOTÉCNICA TEL-5905 OU EQUIVALENTE</v>
          </cell>
          <cell r="D340" t="str">
            <v xml:space="preserve">UN </v>
          </cell>
          <cell r="E340">
            <v>2</v>
          </cell>
          <cell r="F340">
            <v>16.46</v>
          </cell>
          <cell r="G340">
            <v>14.599538554015771</v>
          </cell>
          <cell r="P340">
            <v>14.599538554015771</v>
          </cell>
        </row>
        <row r="341">
          <cell r="A341">
            <v>26008000</v>
          </cell>
          <cell r="B341" t="str">
            <v xml:space="preserve">COT.73918/003 </v>
          </cell>
          <cell r="C341" t="str">
            <v>CAIXA DE EQUALIZACAO DE POTENCIAIS METALICA 200MMX200MMX90MM, EM AÇO, BARRAMENTO 6MM DE ESPESSURA, 8 TERMINAIS DE 16MM2 + 1 DE 50MM2, REF. TERMOTÉCNICA TEL-901</v>
          </cell>
          <cell r="D341" t="str">
            <v xml:space="preserve">UN </v>
          </cell>
          <cell r="E341">
            <v>3</v>
          </cell>
          <cell r="F341">
            <v>286.60000000000002</v>
          </cell>
          <cell r="G341">
            <v>254.20581710698178</v>
          </cell>
          <cell r="P341">
            <v>254.20581710698178</v>
          </cell>
        </row>
        <row r="342">
          <cell r="A342">
            <v>27000000</v>
          </cell>
          <cell r="C342" t="str">
            <v xml:space="preserve">ELETRICA - PE-SDAI-ADM (SISTEMA DE DETECÇÃO ALARME E INCENDIO) </v>
          </cell>
          <cell r="G342">
            <v>0</v>
          </cell>
        </row>
        <row r="343">
          <cell r="A343">
            <v>27001000</v>
          </cell>
          <cell r="B343">
            <v>73613</v>
          </cell>
          <cell r="C343" t="str">
            <v>ELETRODUTO DE PVC RÍGIDO ROSCÁVEL 20 MM (3/4") FORNECIMENTO E INSTALACAO</v>
          </cell>
          <cell r="D343" t="str">
            <v xml:space="preserve">M </v>
          </cell>
          <cell r="E343">
            <v>131.97</v>
          </cell>
          <cell r="F343">
            <v>4.45</v>
          </cell>
          <cell r="G343">
            <v>3.9470198399374352</v>
          </cell>
          <cell r="P343">
            <v>3.9470198399374352</v>
          </cell>
        </row>
        <row r="344">
          <cell r="A344">
            <v>27002000</v>
          </cell>
          <cell r="B344">
            <v>73621</v>
          </cell>
          <cell r="C344" t="str">
            <v>BOX RETO 1/2" EM FERRO GALVANIZADO OU ALUMINIO PARA ADAPTAR ENTRADA DE ELETRODUTO METÁLICO FLEXIVEL EM CAIXA E QUADROS</v>
          </cell>
          <cell r="D344" t="str">
            <v xml:space="preserve">UN </v>
          </cell>
          <cell r="E344">
            <v>42</v>
          </cell>
          <cell r="F344">
            <v>1.63</v>
          </cell>
          <cell r="G344">
            <v>1.4457623233928132</v>
          </cell>
          <cell r="P344">
            <v>1.4457623233928132</v>
          </cell>
        </row>
        <row r="345">
          <cell r="A345">
            <v>27003000</v>
          </cell>
          <cell r="B345" t="str">
            <v xml:space="preserve">73861/020 </v>
          </cell>
          <cell r="C345" t="str">
            <v>CONDULETE, EM ALUMINIO, COM ENTRADA LISA, 3/4", TIPO T, COM TAMPA CEGA, DA WETZEL OU SIMILAR</v>
          </cell>
          <cell r="D345" t="str">
            <v xml:space="preserve">UN </v>
          </cell>
          <cell r="E345">
            <v>21</v>
          </cell>
          <cell r="F345">
            <v>8.14</v>
          </cell>
          <cell r="G345">
            <v>7.2199419094585897</v>
          </cell>
          <cell r="P345">
            <v>7.2199419094585897</v>
          </cell>
        </row>
        <row r="346">
          <cell r="A346">
            <v>27004000</v>
          </cell>
          <cell r="B346" t="str">
            <v xml:space="preserve">AGS.70971 </v>
          </cell>
          <cell r="C346" t="str">
            <v>CONDULETE, EM PVC RÍGIDO, CINZA, COM ENTRADA LISA, 3/4", TIPO LL, COM TAMPA CEGA, DA WETZEL OU EQUIVALENTE</v>
          </cell>
          <cell r="D346" t="str">
            <v xml:space="preserve">UN </v>
          </cell>
          <cell r="E346">
            <v>1</v>
          </cell>
          <cell r="F346">
            <v>10.8</v>
          </cell>
          <cell r="G346">
            <v>9.5792841059155727</v>
          </cell>
          <cell r="P346">
            <v>9.5792841059155727</v>
          </cell>
        </row>
        <row r="347">
          <cell r="A347">
            <v>27005000</v>
          </cell>
          <cell r="B347" t="str">
            <v xml:space="preserve">AGS.70991 </v>
          </cell>
          <cell r="C347" t="str">
            <v>CONDULETE, EM PVC RÍGIDO, CINZA, COM ENTRADA LISA, 3/4", TIPO T, COM TAMPA CEGA, DA WETZEL OU EQUIVALENTE</v>
          </cell>
          <cell r="D347" t="str">
            <v xml:space="preserve">UN </v>
          </cell>
          <cell r="E347">
            <v>2</v>
          </cell>
          <cell r="F347">
            <v>17.079999999999998</v>
          </cell>
          <cell r="G347">
            <v>15.149460419355368</v>
          </cell>
          <cell r="P347">
            <v>15.149460419355368</v>
          </cell>
        </row>
        <row r="348">
          <cell r="A348">
            <v>27006000</v>
          </cell>
          <cell r="B348" t="str">
            <v xml:space="preserve">AGS.71001 </v>
          </cell>
          <cell r="C348" t="str">
            <v>CONDULETE, EM PVC RÍGIDO, CINZA, COM ENTRADA LISA, 3/4", TIPO X, COM TAMPA CEGA, DA WETZEL OU EQUIVALENTE</v>
          </cell>
          <cell r="D348" t="str">
            <v xml:space="preserve">UN </v>
          </cell>
          <cell r="E348">
            <v>1</v>
          </cell>
          <cell r="F348">
            <v>21.06</v>
          </cell>
          <cell r="G348">
            <v>18.679604006535367</v>
          </cell>
          <cell r="P348">
            <v>18.679604006535367</v>
          </cell>
        </row>
        <row r="349">
          <cell r="A349">
            <v>27007000</v>
          </cell>
          <cell r="B349" t="str">
            <v xml:space="preserve">AGS.71141A </v>
          </cell>
          <cell r="C349" t="str">
            <v>CURVA 90° PARA ELETRODUTO DE PVC RIGIDO, 3/4"</v>
          </cell>
          <cell r="D349" t="str">
            <v xml:space="preserve">UN </v>
          </cell>
          <cell r="E349">
            <v>54</v>
          </cell>
          <cell r="F349">
            <v>4.3499999999999996</v>
          </cell>
          <cell r="G349">
            <v>3.858322764882661</v>
          </cell>
          <cell r="P349">
            <v>3.858322764882661</v>
          </cell>
        </row>
        <row r="350">
          <cell r="A350">
            <v>27008000</v>
          </cell>
          <cell r="B350" t="str">
            <v xml:space="preserve">AGS.71741 </v>
          </cell>
          <cell r="C350" t="str">
            <v>LUVA PARA ELETRODUTO DE PVC RIGIDO, 3/4"</v>
          </cell>
          <cell r="D350" t="str">
            <v xml:space="preserve">UN </v>
          </cell>
          <cell r="E350">
            <v>108</v>
          </cell>
          <cell r="F350">
            <v>1.88</v>
          </cell>
          <cell r="G350">
            <v>1.6675050110297478</v>
          </cell>
          <cell r="P350">
            <v>1.6675050110297478</v>
          </cell>
        </row>
        <row r="351">
          <cell r="A351">
            <v>27009000</v>
          </cell>
          <cell r="B351" t="str">
            <v xml:space="preserve">AGS.71861 </v>
          </cell>
          <cell r="C351" t="str">
            <v>PARAFUSO E BUCHA S-6</v>
          </cell>
          <cell r="D351" t="str">
            <v xml:space="preserve">UN </v>
          </cell>
          <cell r="E351">
            <v>2</v>
          </cell>
          <cell r="F351">
            <v>0.38</v>
          </cell>
          <cell r="G351">
            <v>0.33704888520814053</v>
          </cell>
          <cell r="P351">
            <v>0.33704888520814053</v>
          </cell>
        </row>
        <row r="352">
          <cell r="A352">
            <v>27010000</v>
          </cell>
          <cell r="B352" t="str">
            <v xml:space="preserve">AGS.71862 </v>
          </cell>
          <cell r="C352" t="str">
            <v>PARAFUSO E BUCHA S-8</v>
          </cell>
          <cell r="D352" t="str">
            <v xml:space="preserve">UN </v>
          </cell>
          <cell r="E352">
            <v>42</v>
          </cell>
          <cell r="F352">
            <v>0.34</v>
          </cell>
          <cell r="G352">
            <v>0.30157005518623103</v>
          </cell>
          <cell r="P352">
            <v>0.30157005518623103</v>
          </cell>
        </row>
        <row r="353">
          <cell r="A353">
            <v>27011000</v>
          </cell>
          <cell r="B353" t="str">
            <v xml:space="preserve">AGS.71982 </v>
          </cell>
          <cell r="C353" t="str">
            <v>PORCA SEXTAVADA 3/8"</v>
          </cell>
          <cell r="D353" t="str">
            <v xml:space="preserve">UN </v>
          </cell>
          <cell r="E353">
            <v>52</v>
          </cell>
          <cell r="F353">
            <v>0.16</v>
          </cell>
          <cell r="G353">
            <v>0.14191532008763813</v>
          </cell>
          <cell r="P353">
            <v>0.14191532008763813</v>
          </cell>
        </row>
        <row r="354">
          <cell r="A354">
            <v>27012000</v>
          </cell>
          <cell r="B354" t="str">
            <v xml:space="preserve">AGS.74043/005 </v>
          </cell>
          <cell r="C354" t="str">
            <v>CAIXA METÁLICA ESMALTADA - 4"X4"X2"</v>
          </cell>
          <cell r="D354" t="str">
            <v xml:space="preserve">UN </v>
          </cell>
          <cell r="E354">
            <v>21</v>
          </cell>
          <cell r="F354">
            <v>6.91</v>
          </cell>
          <cell r="G354">
            <v>6.1289678862848715</v>
          </cell>
          <cell r="P354">
            <v>6.1289678862848715</v>
          </cell>
        </row>
        <row r="355">
          <cell r="A355">
            <v>27013000</v>
          </cell>
          <cell r="B355" t="str">
            <v xml:space="preserve">AGT.70251 </v>
          </cell>
          <cell r="C355" t="str">
            <v xml:space="preserve">ARRUELA LISA 3/8" </v>
          </cell>
          <cell r="D355" t="str">
            <v xml:space="preserve">UN </v>
          </cell>
          <cell r="E355">
            <v>52</v>
          </cell>
          <cell r="F355">
            <v>0.6</v>
          </cell>
          <cell r="G355">
            <v>0.53218245032864286</v>
          </cell>
          <cell r="P355">
            <v>0.53218245032864286</v>
          </cell>
        </row>
        <row r="356">
          <cell r="A356">
            <v>27014000</v>
          </cell>
          <cell r="B356" t="str">
            <v xml:space="preserve">AGT.71241 </v>
          </cell>
          <cell r="C356" t="str">
            <v>ELETRODUTO PVC FLEXIVEL (MANGUEIRA) DIAM.3/4"</v>
          </cell>
          <cell r="D356" t="str">
            <v xml:space="preserve">M </v>
          </cell>
          <cell r="E356">
            <v>21</v>
          </cell>
          <cell r="F356">
            <v>15.59</v>
          </cell>
          <cell r="G356">
            <v>13.827874001039239</v>
          </cell>
          <cell r="P356">
            <v>13.827874001039239</v>
          </cell>
        </row>
        <row r="357">
          <cell r="A357">
            <v>27015000</v>
          </cell>
          <cell r="B357" t="str">
            <v xml:space="preserve">AGT.72660 </v>
          </cell>
          <cell r="C357" t="str">
            <v>VERGALHAO ROSCA TOTAL D=1/4"</v>
          </cell>
          <cell r="D357" t="str">
            <v xml:space="preserve">M </v>
          </cell>
          <cell r="E357">
            <v>7</v>
          </cell>
          <cell r="F357">
            <v>4.97</v>
          </cell>
          <cell r="G357">
            <v>4.4082446302222591</v>
          </cell>
          <cell r="P357">
            <v>4.4082446302222591</v>
          </cell>
        </row>
        <row r="358">
          <cell r="A358">
            <v>27016000</v>
          </cell>
          <cell r="B358" t="str">
            <v xml:space="preserve">COT.71277 </v>
          </cell>
          <cell r="C358" t="str">
            <v>EMENDA DE VERGALHÃO ROSCADA 1/4"</v>
          </cell>
          <cell r="D358" t="str">
            <v xml:space="preserve">UN </v>
          </cell>
          <cell r="E358">
            <v>21</v>
          </cell>
          <cell r="F358">
            <v>5.19</v>
          </cell>
          <cell r="G358">
            <v>4.6033781953427617</v>
          </cell>
          <cell r="P358">
            <v>4.6033781953427617</v>
          </cell>
        </row>
        <row r="359">
          <cell r="A359">
            <v>27017000</v>
          </cell>
          <cell r="B359" t="str">
            <v xml:space="preserve">COT.72334C </v>
          </cell>
          <cell r="C359" t="str">
            <v xml:space="preserve">DETECTOR ÓTICO DE FUMAÇA ENDEREÇÁVEL C/ PLACA DE FIXAÇÃO FORRO, REF. Cód.: 122305 ENGESUL OU EQUIVALENTE </v>
          </cell>
          <cell r="D359" t="str">
            <v xml:space="preserve">UN </v>
          </cell>
          <cell r="E359">
            <v>22</v>
          </cell>
          <cell r="F359">
            <v>168.05</v>
          </cell>
          <cell r="G359">
            <v>149.05543462954742</v>
          </cell>
          <cell r="P359">
            <v>149.05543462954742</v>
          </cell>
        </row>
        <row r="360">
          <cell r="A360">
            <v>27018000</v>
          </cell>
          <cell r="B360" t="str">
            <v xml:space="preserve">COT.72334D </v>
          </cell>
          <cell r="C360" t="str">
            <v>DETECTOR DE VAZAMENTO DE GÁS TIPO BLINDADO REF.: COD.: 122.015 ENGESUL OU EQUIVALENTE H=200MM DO PISO</v>
          </cell>
          <cell r="D360" t="str">
            <v xml:space="preserve">UN </v>
          </cell>
          <cell r="E360">
            <v>1</v>
          </cell>
          <cell r="F360">
            <v>158.05000000000001</v>
          </cell>
          <cell r="G360">
            <v>140.18572712407004</v>
          </cell>
          <cell r="P360">
            <v>140.18572712407004</v>
          </cell>
        </row>
        <row r="361">
          <cell r="A361">
            <v>27019000</v>
          </cell>
          <cell r="B361" t="str">
            <v xml:space="preserve">COT.72340 </v>
          </cell>
          <cell r="C361" t="str">
            <v xml:space="preserve">AVISADOR SONORO ENDEREÇÁVEL, INSTALADO NA PAREDE, REF. : Cód: 103.041 ENGESUL OU EQUIVALENTE </v>
          </cell>
          <cell r="D361" t="str">
            <v xml:space="preserve">UN </v>
          </cell>
          <cell r="E361">
            <v>5</v>
          </cell>
          <cell r="F361">
            <v>65.900000000000006</v>
          </cell>
          <cell r="G361">
            <v>58.451372461095957</v>
          </cell>
          <cell r="P361">
            <v>58.451372461095957</v>
          </cell>
        </row>
        <row r="362">
          <cell r="A362">
            <v>27020000</v>
          </cell>
          <cell r="B362" t="str">
            <v xml:space="preserve">COT.73855/001 </v>
          </cell>
          <cell r="C362" t="str">
            <v>CHUMBADOR CBC PARAFUSO 1/4" - CISER - FORNECIMENTO E INSTALACAO</v>
          </cell>
          <cell r="D362" t="str">
            <v xml:space="preserve">UN </v>
          </cell>
          <cell r="E362">
            <v>21</v>
          </cell>
          <cell r="F362">
            <v>9.7100000000000009</v>
          </cell>
          <cell r="G362">
            <v>8.6124859878185394</v>
          </cell>
          <cell r="P362">
            <v>8.6124859878185394</v>
          </cell>
        </row>
        <row r="363">
          <cell r="A363">
            <v>27021000</v>
          </cell>
          <cell r="B363" t="str">
            <v xml:space="preserve">COT.73855/002 </v>
          </cell>
          <cell r="C363" t="str">
            <v>CHUMBADOR CBC PARAFUSO 3/8" X 2 1/2" REF. 98212 CISER OU EQUIVALENTE - FORNECIMENTO E INSTALACAO</v>
          </cell>
          <cell r="D363" t="str">
            <v xml:space="preserve">UN </v>
          </cell>
          <cell r="E363">
            <v>52</v>
          </cell>
          <cell r="F363">
            <v>9.7100000000000009</v>
          </cell>
          <cell r="G363">
            <v>8.6124859878185394</v>
          </cell>
          <cell r="P363">
            <v>8.6124859878185394</v>
          </cell>
        </row>
        <row r="364">
          <cell r="A364">
            <v>27022000</v>
          </cell>
          <cell r="B364" t="str">
            <v xml:space="preserve">COT.73860 </v>
          </cell>
          <cell r="C364" t="str">
            <v xml:space="preserve">CABO PP 4 VIAS BLINDADO PVC 70°C 2X1,5MM2 - CONFORME NBR 6880 e 13249 </v>
          </cell>
          <cell r="D364" t="str">
            <v xml:space="preserve">M </v>
          </cell>
          <cell r="E364">
            <v>123.07</v>
          </cell>
          <cell r="F364">
            <v>2.69</v>
          </cell>
          <cell r="G364">
            <v>2.3859513189734156</v>
          </cell>
          <cell r="P364">
            <v>2.3859513189734156</v>
          </cell>
        </row>
        <row r="365">
          <cell r="A365">
            <v>27023000</v>
          </cell>
          <cell r="B365" t="str">
            <v xml:space="preserve">COT.74043 </v>
          </cell>
          <cell r="C365" t="str">
            <v>SUPORTE PARA ELETRODUTO TIPO ECONÔMICO DIAM. 3/4". REF. ML-1455, MEGALIDER OU EQUIVALENTE</v>
          </cell>
          <cell r="D365" t="str">
            <v xml:space="preserve">UN </v>
          </cell>
          <cell r="E365">
            <v>64</v>
          </cell>
          <cell r="F365">
            <v>3.05</v>
          </cell>
          <cell r="G365">
            <v>2.7052607891706013</v>
          </cell>
          <cell r="P365">
            <v>2.7052607891706013</v>
          </cell>
        </row>
        <row r="366">
          <cell r="A366">
            <v>27024000</v>
          </cell>
          <cell r="B366" t="str">
            <v xml:space="preserve">COT.74043/007 </v>
          </cell>
          <cell r="C366" t="str">
            <v>JUNÇÃO ANGULAR DUPLA ALTA GALVANIZADA</v>
          </cell>
          <cell r="D366" t="str">
            <v xml:space="preserve">UN </v>
          </cell>
          <cell r="E366">
            <v>26</v>
          </cell>
          <cell r="F366">
            <v>13.42</v>
          </cell>
          <cell r="G366">
            <v>11.903147472350646</v>
          </cell>
          <cell r="P366">
            <v>11.903147472350646</v>
          </cell>
        </row>
        <row r="367">
          <cell r="A367">
            <v>27025000</v>
          </cell>
          <cell r="B367" t="str">
            <v xml:space="preserve">COT.74044 </v>
          </cell>
          <cell r="C367" t="str">
            <v>SUSPENSÃO P/ TIRANTE REF. MEGA APOIO MG 2535 OU EQUIVALENTE</v>
          </cell>
          <cell r="D367" t="str">
            <v xml:space="preserve">UN </v>
          </cell>
          <cell r="E367">
            <v>42</v>
          </cell>
          <cell r="F367">
            <v>6.96</v>
          </cell>
          <cell r="G367">
            <v>6.173316423812258</v>
          </cell>
          <cell r="P367">
            <v>6.173316423812258</v>
          </cell>
        </row>
        <row r="368">
          <cell r="A368">
            <v>27026000</v>
          </cell>
          <cell r="B368" t="str">
            <v xml:space="preserve">COT.74045 </v>
          </cell>
          <cell r="C368" t="str">
            <v>TIRANTE (1/4") ROSQUEADO 3000MM, REF. MEGA APOIO MG2513-2 OU EQUIVALENTE</v>
          </cell>
          <cell r="D368" t="str">
            <v xml:space="preserve">UN </v>
          </cell>
          <cell r="E368">
            <v>5</v>
          </cell>
          <cell r="F368">
            <v>2.95</v>
          </cell>
          <cell r="G368">
            <v>2.616563714115828</v>
          </cell>
          <cell r="P368">
            <v>2.616563714115828</v>
          </cell>
        </row>
        <row r="369">
          <cell r="A369">
            <v>27027000</v>
          </cell>
          <cell r="B369" t="str">
            <v xml:space="preserve">COT.80661 </v>
          </cell>
          <cell r="C369" t="str">
            <v>CENTRAL DE ALARME DE INCÊNDIO ENDEREÇÁVEL C/ LCD 02 LAÇOS 4-TOQUES</v>
          </cell>
          <cell r="D369" t="str">
            <v xml:space="preserve">UN </v>
          </cell>
          <cell r="E369">
            <v>2</v>
          </cell>
          <cell r="F369">
            <v>1670.65</v>
          </cell>
          <cell r="G369">
            <v>1481.8176844025788</v>
          </cell>
          <cell r="P369">
            <v>1481.8176844025788</v>
          </cell>
        </row>
        <row r="370">
          <cell r="A370">
            <v>27028000</v>
          </cell>
          <cell r="B370" t="str">
            <v xml:space="preserve">CPS.74043/005 </v>
          </cell>
          <cell r="C370" t="str">
            <v>BRAÇADEIRA GALVANIZADA TIPO D 3/4" COM PARAFUSO E BUCHA S-8</v>
          </cell>
          <cell r="D370" t="str">
            <v xml:space="preserve">UN </v>
          </cell>
          <cell r="E370">
            <v>42</v>
          </cell>
          <cell r="F370">
            <v>3.95</v>
          </cell>
          <cell r="G370">
            <v>3.503534464663566</v>
          </cell>
          <cell r="P370">
            <v>3.503534464663566</v>
          </cell>
        </row>
        <row r="371">
          <cell r="A371">
            <v>28000000</v>
          </cell>
          <cell r="C371" t="str">
            <v>ELETRICA – PE-REDE-PEC</v>
          </cell>
          <cell r="G371">
            <v>0</v>
          </cell>
        </row>
        <row r="372">
          <cell r="A372">
            <v>28001000</v>
          </cell>
          <cell r="B372">
            <v>73613</v>
          </cell>
          <cell r="C372" t="str">
            <v>ELETRODUTO DE PVC RÍGIDO ROSCÁVEL 20 MM (3/4") FORNECIMENTO E INSTALACAO</v>
          </cell>
          <cell r="D372" t="str">
            <v xml:space="preserve">M </v>
          </cell>
          <cell r="E372">
            <v>564.16</v>
          </cell>
          <cell r="F372">
            <v>4.46</v>
          </cell>
          <cell r="G372">
            <v>3.9558895474429123</v>
          </cell>
          <cell r="P372">
            <v>3.9558895474429123</v>
          </cell>
        </row>
        <row r="373">
          <cell r="A373">
            <v>28002000</v>
          </cell>
          <cell r="B373" t="str">
            <v xml:space="preserve">73768/006 </v>
          </cell>
          <cell r="C373" t="str">
            <v>CABO TELEFONICO CI-50 50PARES (USO INTERNO) - FORNECIMENTO E INSTALACAO</v>
          </cell>
          <cell r="D373" t="str">
            <v xml:space="preserve">M </v>
          </cell>
          <cell r="E373">
            <v>155.82</v>
          </cell>
          <cell r="F373">
            <v>10.15</v>
          </cell>
          <cell r="G373">
            <v>9.0027531180595428</v>
          </cell>
          <cell r="P373">
            <v>9.0027531180595428</v>
          </cell>
        </row>
        <row r="374">
          <cell r="A374">
            <v>28003000</v>
          </cell>
          <cell r="B374" t="str">
            <v xml:space="preserve">74252/001 </v>
          </cell>
          <cell r="C374" t="str">
            <v>ELETRODUTO DE PVC RIGIDO ROSCAVEL 25MM (1"), FORNECIMENTO E INSTALACAO</v>
          </cell>
          <cell r="D374" t="str">
            <v xml:space="preserve">M </v>
          </cell>
          <cell r="E374">
            <v>31.91</v>
          </cell>
          <cell r="F374">
            <v>7.7</v>
          </cell>
          <cell r="G374">
            <v>6.8296747792175845</v>
          </cell>
          <cell r="P374">
            <v>6.8296747792175845</v>
          </cell>
        </row>
        <row r="375">
          <cell r="A375">
            <v>28004000</v>
          </cell>
          <cell r="B375" t="str">
            <v xml:space="preserve">AGS.70647 </v>
          </cell>
          <cell r="C375" t="str">
            <v>CAIXA DE PASSAGEM METALICA 30X30X12 CM NO PISO</v>
          </cell>
          <cell r="D375" t="str">
            <v xml:space="preserve">UN </v>
          </cell>
          <cell r="E375">
            <v>13</v>
          </cell>
          <cell r="F375">
            <v>58.91</v>
          </cell>
          <cell r="G375">
            <v>52.251446914767257</v>
          </cell>
          <cell r="P375">
            <v>52.251446914767257</v>
          </cell>
        </row>
        <row r="376">
          <cell r="A376">
            <v>28005000</v>
          </cell>
          <cell r="B376" t="str">
            <v xml:space="preserve">AGS.70971 </v>
          </cell>
          <cell r="C376" t="str">
            <v>CONDULETE, EM PVC RÍGIDO, CINZA, COM ENTRADA LISA, 3/4", TIPO LL, COM TAMPA CEGA, DA WETZEL OU EQUIVALENTE</v>
          </cell>
          <cell r="D376" t="str">
            <v xml:space="preserve">UN </v>
          </cell>
          <cell r="E376">
            <v>6</v>
          </cell>
          <cell r="F376">
            <v>10.8</v>
          </cell>
          <cell r="G376">
            <v>9.5792841059155727</v>
          </cell>
          <cell r="P376">
            <v>9.5792841059155727</v>
          </cell>
        </row>
        <row r="377">
          <cell r="A377">
            <v>28006000</v>
          </cell>
          <cell r="B377" t="str">
            <v xml:space="preserve">AGS.70981 </v>
          </cell>
          <cell r="C377" t="str">
            <v>CONDULETE, EM PVC RÍGIDO, CINZA, COM ENTRADA LISA, 3/4", TIPO LR, COM TAMPA CEGA, DA WETZEL OU EQUIVALENTE</v>
          </cell>
          <cell r="D377" t="str">
            <v xml:space="preserve">UN </v>
          </cell>
          <cell r="E377">
            <v>3</v>
          </cell>
          <cell r="F377">
            <v>10.8</v>
          </cell>
          <cell r="G377">
            <v>9.5792841059155727</v>
          </cell>
          <cell r="P377">
            <v>9.5792841059155727</v>
          </cell>
        </row>
        <row r="378">
          <cell r="A378">
            <v>28007000</v>
          </cell>
          <cell r="B378" t="str">
            <v xml:space="preserve">AGS.70991 </v>
          </cell>
          <cell r="C378" t="str">
            <v>CONDULETE, EM PVC RÍGIDO, CINZA, COM ENTRADA LISA, 3/4", TIPO T, COM TAMPA CEGA, DA WETZEL OU EQUIVALENTE</v>
          </cell>
          <cell r="D378" t="str">
            <v xml:space="preserve">UN </v>
          </cell>
          <cell r="E378">
            <v>8</v>
          </cell>
          <cell r="F378">
            <v>17.079999999999998</v>
          </cell>
          <cell r="G378">
            <v>15.149460419355368</v>
          </cell>
          <cell r="P378">
            <v>15.149460419355368</v>
          </cell>
        </row>
        <row r="379">
          <cell r="A379">
            <v>28008000</v>
          </cell>
          <cell r="B379" t="str">
            <v xml:space="preserve">AGS.71141A </v>
          </cell>
          <cell r="C379" t="str">
            <v>CURVA 90° PARA ELETRODUTO DE PVC RIGIDO, 3/4"</v>
          </cell>
          <cell r="D379" t="str">
            <v xml:space="preserve">UN </v>
          </cell>
          <cell r="E379">
            <v>98</v>
          </cell>
          <cell r="F379">
            <v>4.3499999999999996</v>
          </cell>
          <cell r="G379">
            <v>3.858322764882661</v>
          </cell>
          <cell r="P379">
            <v>3.858322764882661</v>
          </cell>
        </row>
        <row r="380">
          <cell r="A380">
            <v>28009000</v>
          </cell>
          <cell r="B380" t="str">
            <v xml:space="preserve">AGS.71142 </v>
          </cell>
          <cell r="C380" t="str">
            <v>CURVA 90° PARA ELETRODUTO DE PVC RIGIDO, 1"</v>
          </cell>
          <cell r="D380" t="str">
            <v xml:space="preserve">UN </v>
          </cell>
          <cell r="E380">
            <v>8</v>
          </cell>
          <cell r="F380">
            <v>3.48</v>
          </cell>
          <cell r="G380">
            <v>3.086658211906129</v>
          </cell>
          <cell r="P380">
            <v>3.086658211906129</v>
          </cell>
        </row>
        <row r="381">
          <cell r="A381">
            <v>28010000</v>
          </cell>
          <cell r="B381" t="str">
            <v xml:space="preserve">AGS.71741 </v>
          </cell>
          <cell r="C381" t="str">
            <v>LUVA PARA ELETRODUTO DE PVC RIGIDO, 3/4"</v>
          </cell>
          <cell r="D381" t="str">
            <v xml:space="preserve">UN </v>
          </cell>
          <cell r="E381">
            <v>196</v>
          </cell>
          <cell r="F381">
            <v>1.88</v>
          </cell>
          <cell r="G381">
            <v>1.6675050110297478</v>
          </cell>
          <cell r="P381">
            <v>1.6675050110297478</v>
          </cell>
        </row>
        <row r="382">
          <cell r="A382">
            <v>28011000</v>
          </cell>
          <cell r="B382" t="str">
            <v xml:space="preserve">AGS.71742 </v>
          </cell>
          <cell r="C382" t="str">
            <v>LUVA PARA ELETRODUTO DE PVC RIGIDO, 1"</v>
          </cell>
          <cell r="D382" t="str">
            <v xml:space="preserve">UN </v>
          </cell>
          <cell r="E382">
            <v>16</v>
          </cell>
          <cell r="F382">
            <v>2.57</v>
          </cell>
          <cell r="G382">
            <v>2.2795148289076872</v>
          </cell>
          <cell r="P382">
            <v>2.2795148289076872</v>
          </cell>
        </row>
        <row r="383">
          <cell r="A383">
            <v>28012000</v>
          </cell>
          <cell r="B383" t="str">
            <v xml:space="preserve">AGS.74043/006 </v>
          </cell>
          <cell r="C383" t="str">
            <v>CAIXA METÁLICA ESMALTADA - 4"X2"X2"</v>
          </cell>
          <cell r="D383" t="str">
            <v xml:space="preserve">UN </v>
          </cell>
          <cell r="E383">
            <v>1</v>
          </cell>
          <cell r="F383">
            <v>6.26</v>
          </cell>
          <cell r="G383">
            <v>5.5524368984288408</v>
          </cell>
          <cell r="P383">
            <v>5.5524368984288408</v>
          </cell>
        </row>
        <row r="384">
          <cell r="A384">
            <v>28013000</v>
          </cell>
          <cell r="B384" t="str">
            <v xml:space="preserve">AGT.71277 </v>
          </cell>
          <cell r="C384" t="str">
            <v>EMENDA INTERNA P/ELETROCALHA (50 X 50 mm)</v>
          </cell>
          <cell r="D384" t="str">
            <v xml:space="preserve">UN </v>
          </cell>
          <cell r="E384">
            <v>21</v>
          </cell>
          <cell r="F384">
            <v>3.72</v>
          </cell>
          <cell r="G384">
            <v>3.2995311920375863</v>
          </cell>
          <cell r="P384">
            <v>3.2995311920375863</v>
          </cell>
        </row>
        <row r="385">
          <cell r="A385">
            <v>28014000</v>
          </cell>
          <cell r="B385" t="str">
            <v xml:space="preserve">COT.130D </v>
          </cell>
          <cell r="C385" t="str">
            <v>DUTO AÉREO PERFURADO U SRS-200-B05 50mmx50mm</v>
          </cell>
          <cell r="D385" t="str">
            <v xml:space="preserve">M </v>
          </cell>
          <cell r="E385">
            <v>84.1</v>
          </cell>
          <cell r="F385">
            <v>27.46</v>
          </cell>
          <cell r="G385">
            <v>24.356216810040891</v>
          </cell>
          <cell r="P385">
            <v>24.356216810040891</v>
          </cell>
        </row>
        <row r="386">
          <cell r="A386">
            <v>28015000</v>
          </cell>
          <cell r="B386" t="str">
            <v xml:space="preserve">COT.1578A </v>
          </cell>
          <cell r="C386" t="str">
            <v xml:space="preserve">PARAFUSO SEXTAVADO EM AÇO INOX ROSCA SOBERBA M5X12MM </v>
          </cell>
          <cell r="D386" t="str">
            <v xml:space="preserve">UN </v>
          </cell>
          <cell r="E386">
            <v>72</v>
          </cell>
          <cell r="F386">
            <v>2.0299999999999998</v>
          </cell>
          <cell r="G386">
            <v>1.8005506236119084</v>
          </cell>
          <cell r="P386">
            <v>1.8005506236119084</v>
          </cell>
        </row>
        <row r="387">
          <cell r="A387">
            <v>28016000</v>
          </cell>
          <cell r="B387" t="str">
            <v xml:space="preserve">COT.70626 </v>
          </cell>
          <cell r="C387" t="str">
            <v>CABO UTP-8 VIAS, CAT.6E</v>
          </cell>
          <cell r="D387" t="str">
            <v xml:space="preserve">M </v>
          </cell>
          <cell r="E387">
            <v>1809.46</v>
          </cell>
          <cell r="F387">
            <v>2.1</v>
          </cell>
          <cell r="G387">
            <v>1.8626385761502504</v>
          </cell>
          <cell r="P387">
            <v>1.8626385761502504</v>
          </cell>
        </row>
        <row r="388">
          <cell r="A388">
            <v>28017000</v>
          </cell>
          <cell r="B388" t="str">
            <v xml:space="preserve">COT.71796 </v>
          </cell>
          <cell r="C388" t="str">
            <v>GUIA PARA CABOS, INSTALAÇÃO EM RACK DE REDE</v>
          </cell>
          <cell r="D388" t="str">
            <v xml:space="preserve">M </v>
          </cell>
          <cell r="E388">
            <v>6</v>
          </cell>
          <cell r="F388">
            <v>13.2</v>
          </cell>
          <cell r="G388">
            <v>11.708013907230145</v>
          </cell>
          <cell r="P388">
            <v>11.708013907230145</v>
          </cell>
        </row>
        <row r="389">
          <cell r="A389">
            <v>28018000</v>
          </cell>
          <cell r="B389" t="str">
            <v xml:space="preserve">COT.71886 </v>
          </cell>
          <cell r="C389" t="str">
            <v>PATCH CORD UTP-8 P, CAT 6E, FLEXIVEL 1.5 M</v>
          </cell>
          <cell r="D389" t="str">
            <v xml:space="preserve">UN </v>
          </cell>
          <cell r="E389">
            <v>148</v>
          </cell>
          <cell r="F389">
            <v>11.2</v>
          </cell>
          <cell r="G389">
            <v>9.9340724061346677</v>
          </cell>
          <cell r="P389">
            <v>9.9340724061346677</v>
          </cell>
        </row>
        <row r="390">
          <cell r="A390">
            <v>28019000</v>
          </cell>
          <cell r="B390" t="str">
            <v xml:space="preserve">COT.71887 </v>
          </cell>
          <cell r="C390" t="str">
            <v>PATCH CORD UTP-8 P, CAT 6E, FLEXIVEL 2.5 M</v>
          </cell>
          <cell r="D390" t="str">
            <v xml:space="preserve">UN </v>
          </cell>
          <cell r="E390">
            <v>4</v>
          </cell>
          <cell r="F390">
            <v>16.100000000000001</v>
          </cell>
          <cell r="G390">
            <v>14.280229083818586</v>
          </cell>
          <cell r="P390">
            <v>14.280229083818586</v>
          </cell>
        </row>
        <row r="391">
          <cell r="A391">
            <v>28020000</v>
          </cell>
          <cell r="B391" t="str">
            <v xml:space="preserve">COT.72556A </v>
          </cell>
          <cell r="C391" t="str">
            <v>TOMADA RJ45 NA PAREDE (2P) EMBUTIR</v>
          </cell>
          <cell r="D391" t="str">
            <v xml:space="preserve">UN </v>
          </cell>
          <cell r="E391">
            <v>35</v>
          </cell>
          <cell r="F391">
            <v>9.9</v>
          </cell>
          <cell r="G391">
            <v>8.781010430422608</v>
          </cell>
          <cell r="P391">
            <v>8.781010430422608</v>
          </cell>
        </row>
        <row r="392">
          <cell r="A392">
            <v>28021000</v>
          </cell>
          <cell r="B392" t="str">
            <v xml:space="preserve">COT.72556B </v>
          </cell>
          <cell r="C392" t="str">
            <v>TOMADA RJ45 NO PISO (2P) EMBUTIR</v>
          </cell>
          <cell r="D392" t="str">
            <v xml:space="preserve">UN </v>
          </cell>
          <cell r="E392">
            <v>6</v>
          </cell>
          <cell r="F392">
            <v>9.9</v>
          </cell>
          <cell r="G392">
            <v>8.781010430422608</v>
          </cell>
          <cell r="P392">
            <v>8.781010430422608</v>
          </cell>
        </row>
        <row r="393">
          <cell r="A393">
            <v>28022000</v>
          </cell>
          <cell r="B393" t="str">
            <v xml:space="preserve">COT.73688A </v>
          </cell>
          <cell r="C393" t="str">
            <v>RACK REDE DE PISO, GABINETE FECHADO, PADRÃO 19", 16 USX570MM GARRA</v>
          </cell>
          <cell r="D393" t="str">
            <v xml:space="preserve">UN </v>
          </cell>
          <cell r="E393">
            <v>2</v>
          </cell>
          <cell r="F393">
            <v>495</v>
          </cell>
          <cell r="G393">
            <v>439.05052152113041</v>
          </cell>
          <cell r="P393">
            <v>439.05052152113041</v>
          </cell>
        </row>
        <row r="394">
          <cell r="A394">
            <v>28023000</v>
          </cell>
          <cell r="B394" t="str">
            <v xml:space="preserve">COT.73688B </v>
          </cell>
          <cell r="C394" t="str">
            <v>SWITCH 24 PORTAS 1375014-1</v>
          </cell>
          <cell r="D394" t="str">
            <v xml:space="preserve">UN </v>
          </cell>
          <cell r="E394">
            <v>2</v>
          </cell>
          <cell r="F394">
            <v>490</v>
          </cell>
          <cell r="G394">
            <v>434.61566776839175</v>
          </cell>
          <cell r="P394">
            <v>434.61566776839175</v>
          </cell>
        </row>
        <row r="395">
          <cell r="A395">
            <v>28024000</v>
          </cell>
          <cell r="B395" t="str">
            <v xml:space="preserve">COT.73688C </v>
          </cell>
          <cell r="C395" t="str">
            <v>VOICE PANEL 50 PORTAS</v>
          </cell>
          <cell r="D395" t="str">
            <v xml:space="preserve">UN </v>
          </cell>
          <cell r="E395">
            <v>2</v>
          </cell>
          <cell r="F395">
            <v>440</v>
          </cell>
          <cell r="G395">
            <v>390.26713024100479</v>
          </cell>
          <cell r="P395">
            <v>390.26713024100479</v>
          </cell>
        </row>
        <row r="396">
          <cell r="A396">
            <v>28025000</v>
          </cell>
          <cell r="B396" t="str">
            <v xml:space="preserve">COT.73688D </v>
          </cell>
          <cell r="C396" t="str">
            <v>RÉGUA COM 6 TOMADAS PARA RACK DE REDE</v>
          </cell>
          <cell r="D396" t="str">
            <v xml:space="preserve">UN </v>
          </cell>
          <cell r="E396">
            <v>2</v>
          </cell>
          <cell r="F396">
            <v>91</v>
          </cell>
          <cell r="G396">
            <v>80.714338299844172</v>
          </cell>
          <cell r="P396">
            <v>80.714338299844172</v>
          </cell>
        </row>
        <row r="397">
          <cell r="A397">
            <v>28026000</v>
          </cell>
          <cell r="B397" t="str">
            <v xml:space="preserve">COT.73688G </v>
          </cell>
          <cell r="C397" t="str">
            <v>PATCH PANEL 24 PORTAS PARA COMUNICAÇÃO EM REDE, REF. D-LINK OU EQUIVALENTE</v>
          </cell>
          <cell r="D397" t="str">
            <v xml:space="preserve">UN </v>
          </cell>
          <cell r="E397">
            <v>4</v>
          </cell>
          <cell r="F397">
            <v>147</v>
          </cell>
          <cell r="G397">
            <v>130.38470033051752</v>
          </cell>
          <cell r="P397">
            <v>130.38470033051752</v>
          </cell>
        </row>
        <row r="398">
          <cell r="A398">
            <v>28027000</v>
          </cell>
          <cell r="B398" t="str">
            <v xml:space="preserve">COT.73688K </v>
          </cell>
          <cell r="C398" t="str">
            <v>ESTABILIZADOR 0,50 Kv</v>
          </cell>
          <cell r="D398" t="str">
            <v xml:space="preserve">UN </v>
          </cell>
          <cell r="E398">
            <v>2</v>
          </cell>
          <cell r="F398">
            <v>61</v>
          </cell>
          <cell r="G398">
            <v>54.105215783412028</v>
          </cell>
          <cell r="P398">
            <v>54.105215783412028</v>
          </cell>
        </row>
        <row r="399">
          <cell r="A399">
            <v>28028000</v>
          </cell>
          <cell r="B399" t="str">
            <v xml:space="preserve">COT.73688L </v>
          </cell>
          <cell r="C399" t="str">
            <v>BANDEJA FIXA 500MM VENTILAÇÃO GARRA</v>
          </cell>
          <cell r="D399" t="str">
            <v xml:space="preserve">M </v>
          </cell>
          <cell r="E399">
            <v>2</v>
          </cell>
          <cell r="F399">
            <v>79</v>
          </cell>
          <cell r="G399">
            <v>70.070689293271315</v>
          </cell>
          <cell r="P399">
            <v>70.070689293271315</v>
          </cell>
        </row>
        <row r="400">
          <cell r="A400">
            <v>28029000</v>
          </cell>
          <cell r="B400" t="str">
            <v xml:space="preserve">COT.73689 </v>
          </cell>
          <cell r="C400" t="str">
            <v>MODEM/ROTEADOR ADSL2 GKM 1210Q OU EQUIVALENTE</v>
          </cell>
          <cell r="D400" t="str">
            <v xml:space="preserve">UN </v>
          </cell>
          <cell r="E400">
            <v>2</v>
          </cell>
          <cell r="F400">
            <v>92</v>
          </cell>
          <cell r="G400">
            <v>81.601309050391919</v>
          </cell>
          <cell r="P400">
            <v>81.601309050391919</v>
          </cell>
        </row>
        <row r="401">
          <cell r="A401">
            <v>28030000</v>
          </cell>
          <cell r="B401" t="str">
            <v xml:space="preserve">COT.73690 </v>
          </cell>
          <cell r="C401" t="str">
            <v>CONECTOR (PLUG) RJ45</v>
          </cell>
          <cell r="D401" t="str">
            <v xml:space="preserve">UN </v>
          </cell>
          <cell r="E401">
            <v>4</v>
          </cell>
          <cell r="F401">
            <v>0.6</v>
          </cell>
          <cell r="G401">
            <v>0.53218245032864286</v>
          </cell>
          <cell r="P401">
            <v>0.53218245032864286</v>
          </cell>
        </row>
        <row r="402">
          <cell r="A402">
            <v>28031000</v>
          </cell>
          <cell r="B402" t="str">
            <v xml:space="preserve">CPS.72337 </v>
          </cell>
          <cell r="C402" t="str">
            <v>TOMADA PARA TELEFONE INTERNO DE 4 POLOS PADRAO TELEBRÁS - FORNECIMENTO E INSTALACAO</v>
          </cell>
          <cell r="D402" t="str">
            <v xml:space="preserve">UN </v>
          </cell>
          <cell r="E402">
            <v>1</v>
          </cell>
          <cell r="F402">
            <v>12.73</v>
          </cell>
          <cell r="G402">
            <v>11.291137654472708</v>
          </cell>
          <cell r="P402">
            <v>11.291137654472708</v>
          </cell>
        </row>
        <row r="403">
          <cell r="A403">
            <v>28032000</v>
          </cell>
          <cell r="B403" t="str">
            <v xml:space="preserve">CPS.74248/001 </v>
          </cell>
          <cell r="C403" t="str">
            <v>CAIXA DE PASSAGEM EM ALVENARIA COM TAMPA METÁLICA 60X40X40 CM</v>
          </cell>
          <cell r="D403" t="str">
            <v xml:space="preserve">UN </v>
          </cell>
          <cell r="E403">
            <v>1</v>
          </cell>
          <cell r="F403">
            <v>123.9</v>
          </cell>
          <cell r="G403">
            <v>109.89567599286477</v>
          </cell>
          <cell r="P403">
            <v>109.89567599286477</v>
          </cell>
        </row>
        <row r="404">
          <cell r="A404">
            <v>29000000</v>
          </cell>
          <cell r="C404" t="str">
            <v xml:space="preserve">COMUNICAÇÃO VISUAL </v>
          </cell>
          <cell r="G404">
            <v>0</v>
          </cell>
        </row>
        <row r="405">
          <cell r="A405">
            <v>29001000</v>
          </cell>
          <cell r="B405" t="str">
            <v xml:space="preserve">CMV 3000.01 </v>
          </cell>
          <cell r="C405" t="str">
            <v>BLOCO 1 - TEATRO - TIPO C DIM.70 X 13,2 CM</v>
          </cell>
          <cell r="D405" t="str">
            <v xml:space="preserve">PÇ </v>
          </cell>
          <cell r="E405">
            <v>1</v>
          </cell>
          <cell r="F405">
            <v>122.76</v>
          </cell>
          <cell r="G405">
            <v>108.88452933724035</v>
          </cell>
          <cell r="P405">
            <v>108.88452933724035</v>
          </cell>
        </row>
        <row r="406">
          <cell r="A406">
            <v>29002000</v>
          </cell>
          <cell r="B406" t="str">
            <v xml:space="preserve">CMV 3000.02 </v>
          </cell>
          <cell r="C406" t="str">
            <v>BLOCO 1 - DEPÓSITO - TIPO B DIM.45 X 8,5 CM</v>
          </cell>
          <cell r="D406" t="str">
            <v xml:space="preserve">PÇ </v>
          </cell>
          <cell r="E406">
            <v>1</v>
          </cell>
          <cell r="F406">
            <v>62.76</v>
          </cell>
          <cell r="G406">
            <v>55.666284304376049</v>
          </cell>
          <cell r="P406">
            <v>55.666284304376049</v>
          </cell>
        </row>
        <row r="407">
          <cell r="A407">
            <v>29003000</v>
          </cell>
          <cell r="B407" t="str">
            <v xml:space="preserve">CMV 3000.03 </v>
          </cell>
          <cell r="C407" t="str">
            <v>BLOCO 1 - CABINE DE PROJEÇÃO - TIPO B DIM.45 X 8,5 CM</v>
          </cell>
          <cell r="D407" t="str">
            <v xml:space="preserve">PÇ </v>
          </cell>
          <cell r="E407">
            <v>1</v>
          </cell>
          <cell r="F407">
            <v>62.76</v>
          </cell>
          <cell r="G407">
            <v>55.666284304376049</v>
          </cell>
          <cell r="P407">
            <v>55.666284304376049</v>
          </cell>
        </row>
        <row r="408">
          <cell r="A408">
            <v>29004000</v>
          </cell>
          <cell r="B408" t="str">
            <v xml:space="preserve">CMV 3000.04 </v>
          </cell>
          <cell r="C408" t="str">
            <v>BLOCO 1 - ADM ALMOXARIFADO - TIPO B DIM.45 X 8,5 CM</v>
          </cell>
          <cell r="D408" t="str">
            <v xml:space="preserve">PÇ </v>
          </cell>
          <cell r="E408">
            <v>1</v>
          </cell>
          <cell r="F408">
            <v>62.76</v>
          </cell>
          <cell r="G408">
            <v>55.666284304376049</v>
          </cell>
          <cell r="P408">
            <v>55.666284304376049</v>
          </cell>
        </row>
        <row r="409">
          <cell r="A409">
            <v>29005000</v>
          </cell>
          <cell r="B409" t="str">
            <v xml:space="preserve">CMV 3000.05 </v>
          </cell>
          <cell r="C409" t="str">
            <v>BLOCO 1 - TELECENTRO - TIPO B DIM.45 X 8,5 CM</v>
          </cell>
          <cell r="D409" t="str">
            <v xml:space="preserve">PÇ </v>
          </cell>
          <cell r="E409">
            <v>1</v>
          </cell>
          <cell r="F409">
            <v>62.76</v>
          </cell>
          <cell r="G409">
            <v>55.666284304376049</v>
          </cell>
          <cell r="P409">
            <v>55.666284304376049</v>
          </cell>
        </row>
        <row r="410">
          <cell r="A410">
            <v>29006000</v>
          </cell>
          <cell r="B410" t="str">
            <v xml:space="preserve">CMV 3000.06 </v>
          </cell>
          <cell r="C410" t="str">
            <v>BLOCO 1 - SANIT. MASCULINO - TIPO B DIM.45 X 8,5 CM</v>
          </cell>
          <cell r="D410" t="str">
            <v xml:space="preserve">PÇ </v>
          </cell>
          <cell r="E410">
            <v>1</v>
          </cell>
          <cell r="F410">
            <v>62.76</v>
          </cell>
          <cell r="G410">
            <v>55.666284304376049</v>
          </cell>
          <cell r="P410">
            <v>55.666284304376049</v>
          </cell>
        </row>
        <row r="411">
          <cell r="A411">
            <v>29007000</v>
          </cell>
          <cell r="B411" t="str">
            <v xml:space="preserve">CMV 3000.07 </v>
          </cell>
          <cell r="C411" t="str">
            <v>BLOCO 1 - SANIT. FEMININO - TIPO B DIM.45 X 8,5 CM</v>
          </cell>
          <cell r="D411" t="str">
            <v xml:space="preserve">PÇ </v>
          </cell>
          <cell r="E411">
            <v>1</v>
          </cell>
          <cell r="F411">
            <v>62.76</v>
          </cell>
          <cell r="G411">
            <v>55.666284304376049</v>
          </cell>
          <cell r="P411">
            <v>55.666284304376049</v>
          </cell>
        </row>
        <row r="412">
          <cell r="A412">
            <v>29008000</v>
          </cell>
          <cell r="B412" t="str">
            <v xml:space="preserve">CMV 3000.08 </v>
          </cell>
          <cell r="C412" t="str">
            <v>BLOCO 1 - SANITÁRIO P.N.E. - TIPO B DIM.45 X 8,5 CM</v>
          </cell>
          <cell r="D412" t="str">
            <v xml:space="preserve">PÇ </v>
          </cell>
          <cell r="E412">
            <v>1</v>
          </cell>
          <cell r="F412">
            <v>62.76</v>
          </cell>
          <cell r="G412">
            <v>55.666284304376049</v>
          </cell>
          <cell r="P412">
            <v>55.666284304376049</v>
          </cell>
        </row>
        <row r="413">
          <cell r="A413">
            <v>29009000</v>
          </cell>
          <cell r="B413" t="str">
            <v xml:space="preserve">CMV 3000.09 </v>
          </cell>
          <cell r="C413" t="str">
            <v>BLOCO 1 - BIBLIOTECA - TIPO B DIM.45 X 8,5 CM</v>
          </cell>
          <cell r="D413" t="str">
            <v xml:space="preserve">PÇ </v>
          </cell>
          <cell r="E413">
            <v>1</v>
          </cell>
          <cell r="F413">
            <v>62.76</v>
          </cell>
          <cell r="G413">
            <v>55.666284304376049</v>
          </cell>
          <cell r="P413">
            <v>55.666284304376049</v>
          </cell>
        </row>
        <row r="414">
          <cell r="A414">
            <v>29010000</v>
          </cell>
          <cell r="B414" t="str">
            <v xml:space="preserve">CMV 3000.10 </v>
          </cell>
          <cell r="C414" t="str">
            <v>BLOCO 1 - SANIT. MASCULINO - TIPO A DIM.20 X 13,2 CM</v>
          </cell>
          <cell r="D414" t="str">
            <v xml:space="preserve">PÇ </v>
          </cell>
          <cell r="E414">
            <v>1</v>
          </cell>
          <cell r="F414">
            <v>62.76</v>
          </cell>
          <cell r="G414">
            <v>55.666284304376049</v>
          </cell>
          <cell r="P414">
            <v>55.666284304376049</v>
          </cell>
        </row>
        <row r="415">
          <cell r="A415">
            <v>29011000</v>
          </cell>
          <cell r="B415" t="str">
            <v xml:space="preserve">CMV 3000.11 </v>
          </cell>
          <cell r="C415" t="str">
            <v>BLOCO 1 - SANIT. FEMININO - TIPO A DIM.20 X 13,2 CM</v>
          </cell>
          <cell r="D415" t="str">
            <v xml:space="preserve">PÇ </v>
          </cell>
          <cell r="E415">
            <v>1</v>
          </cell>
          <cell r="F415">
            <v>62.76</v>
          </cell>
          <cell r="G415">
            <v>55.666284304376049</v>
          </cell>
          <cell r="P415">
            <v>55.666284304376049</v>
          </cell>
        </row>
        <row r="416">
          <cell r="A416">
            <v>29012000</v>
          </cell>
          <cell r="B416" t="str">
            <v xml:space="preserve">CMV 3000.12 </v>
          </cell>
          <cell r="C416" t="str">
            <v>BLOCO 2 - SALA MULTIUSO 1 - TIPO B DIM.45 X 8,5 CM</v>
          </cell>
          <cell r="D416" t="str">
            <v xml:space="preserve">PÇ </v>
          </cell>
          <cell r="E416">
            <v>1</v>
          </cell>
          <cell r="F416">
            <v>62.76</v>
          </cell>
          <cell r="G416">
            <v>55.666284304376049</v>
          </cell>
          <cell r="P416">
            <v>55.666284304376049</v>
          </cell>
        </row>
        <row r="417">
          <cell r="A417">
            <v>29013000</v>
          </cell>
          <cell r="B417" t="str">
            <v xml:space="preserve">CMV 3000.13 </v>
          </cell>
          <cell r="C417" t="str">
            <v>BLOCO 2 - COPA - TIPO B DIM.45 X 8,5 CM</v>
          </cell>
          <cell r="D417" t="str">
            <v xml:space="preserve">PÇ </v>
          </cell>
          <cell r="E417">
            <v>1</v>
          </cell>
          <cell r="F417">
            <v>62.76</v>
          </cell>
          <cell r="G417">
            <v>55.666284304376049</v>
          </cell>
          <cell r="P417">
            <v>55.666284304376049</v>
          </cell>
        </row>
        <row r="418">
          <cell r="A418">
            <v>29014000</v>
          </cell>
          <cell r="B418" t="str">
            <v xml:space="preserve">CMV 3000.14 </v>
          </cell>
          <cell r="C418" t="str">
            <v>BLOCO 2 - SANITÁRIO P.N.E. - TIPO B DIM.45 X 8,5 CM</v>
          </cell>
          <cell r="D418" t="str">
            <v xml:space="preserve">PÇ </v>
          </cell>
          <cell r="E418">
            <v>1</v>
          </cell>
          <cell r="F418">
            <v>62.76</v>
          </cell>
          <cell r="G418">
            <v>55.666284304376049</v>
          </cell>
          <cell r="P418">
            <v>55.666284304376049</v>
          </cell>
        </row>
        <row r="419">
          <cell r="A419">
            <v>29015000</v>
          </cell>
          <cell r="B419" t="str">
            <v xml:space="preserve">CMV 3000.15 </v>
          </cell>
          <cell r="C419" t="str">
            <v>BLOCO 2 - CRAS COOREDENAÇÃO - TIPO B DIM.45 X 8,5 CM</v>
          </cell>
          <cell r="D419" t="str">
            <v xml:space="preserve">PÇ </v>
          </cell>
          <cell r="E419">
            <v>1</v>
          </cell>
          <cell r="F419">
            <v>62.76</v>
          </cell>
          <cell r="G419">
            <v>55.666284304376049</v>
          </cell>
          <cell r="P419">
            <v>55.666284304376049</v>
          </cell>
        </row>
        <row r="420">
          <cell r="A420">
            <v>29016000</v>
          </cell>
          <cell r="B420" t="str">
            <v xml:space="preserve">CMV 3000.16 </v>
          </cell>
          <cell r="C420" t="str">
            <v>BLOCO 2 - CRAS ATENDIMENTO - TIPO B DIM.45 X 8,5 CM</v>
          </cell>
          <cell r="D420" t="str">
            <v xml:space="preserve">PÇ </v>
          </cell>
          <cell r="E420">
            <v>1</v>
          </cell>
          <cell r="F420">
            <v>62.76</v>
          </cell>
          <cell r="G420">
            <v>55.666284304376049</v>
          </cell>
          <cell r="P420">
            <v>55.666284304376049</v>
          </cell>
        </row>
        <row r="421">
          <cell r="A421">
            <v>29017000</v>
          </cell>
          <cell r="B421" t="str">
            <v xml:space="preserve">CMV 3000.17 </v>
          </cell>
          <cell r="C421" t="str">
            <v>BLOCO 2 - SALA MULTIUSO 2 - TIPO B DIM.45 X 8,5 CM</v>
          </cell>
          <cell r="D421" t="str">
            <v xml:space="preserve">PÇ </v>
          </cell>
          <cell r="E421">
            <v>1</v>
          </cell>
          <cell r="F421">
            <v>62.76</v>
          </cell>
          <cell r="G421">
            <v>55.666284304376049</v>
          </cell>
          <cell r="P421">
            <v>55.666284304376049</v>
          </cell>
        </row>
        <row r="422">
          <cell r="A422">
            <v>29018000</v>
          </cell>
          <cell r="B422" t="str">
            <v xml:space="preserve">CMV 3000.18 </v>
          </cell>
          <cell r="C422" t="str">
            <v>BLOCO 2 - COPA - TIPO A DIM.20 X 13,2 CM</v>
          </cell>
          <cell r="D422" t="str">
            <v xml:space="preserve">PÇ </v>
          </cell>
          <cell r="E422">
            <v>1</v>
          </cell>
          <cell r="F422">
            <v>62.76</v>
          </cell>
          <cell r="G422">
            <v>55.666284304376049</v>
          </cell>
          <cell r="P422">
            <v>55.666284304376049</v>
          </cell>
        </row>
        <row r="423">
          <cell r="A423">
            <v>29019000</v>
          </cell>
          <cell r="B423" t="str">
            <v xml:space="preserve">CMV 3000.19 </v>
          </cell>
          <cell r="C423" t="str">
            <v>BLOCO 2 - SANITÁRIO P.N.E. - TIPO B DIM.45 X 8,5 CM</v>
          </cell>
          <cell r="D423" t="str">
            <v xml:space="preserve">PÇ </v>
          </cell>
          <cell r="E423">
            <v>1</v>
          </cell>
          <cell r="F423">
            <v>62.76</v>
          </cell>
          <cell r="G423">
            <v>55.666284304376049</v>
          </cell>
          <cell r="P423">
            <v>55.666284304376049</v>
          </cell>
        </row>
        <row r="424">
          <cell r="A424">
            <v>29020000</v>
          </cell>
          <cell r="B424" t="str">
            <v xml:space="preserve">CMV 3000.20 </v>
          </cell>
          <cell r="C424" t="str">
            <v>PRAÇA 3000 - QUADRA COBERTA - TIPO E DIM.70 X 13,2 CM</v>
          </cell>
          <cell r="D424" t="str">
            <v xml:space="preserve">PÇ </v>
          </cell>
          <cell r="E424">
            <v>1</v>
          </cell>
          <cell r="F424">
            <v>122.76</v>
          </cell>
          <cell r="G424">
            <v>108.88452933724035</v>
          </cell>
          <cell r="P424">
            <v>108.88452933724035</v>
          </cell>
        </row>
        <row r="425">
          <cell r="A425">
            <v>29021000</v>
          </cell>
          <cell r="B425" t="str">
            <v xml:space="preserve">CMV 3000.21 </v>
          </cell>
          <cell r="C425" t="str">
            <v>PRAÇA 3000 - BICICLETÁRIO 1 - TIPO E DIM.70 X 13,2 CM</v>
          </cell>
          <cell r="D425" t="str">
            <v xml:space="preserve">PÇ </v>
          </cell>
          <cell r="E425">
            <v>1</v>
          </cell>
          <cell r="F425">
            <v>122.76</v>
          </cell>
          <cell r="G425">
            <v>108.88452933724035</v>
          </cell>
          <cell r="P425">
            <v>108.88452933724035</v>
          </cell>
        </row>
        <row r="426">
          <cell r="A426">
            <v>29022000</v>
          </cell>
          <cell r="B426" t="str">
            <v xml:space="preserve">CMV 3000.22 </v>
          </cell>
          <cell r="C426" t="str">
            <v>PRAÇA 3000 - BICICLETÁRIO 2 - TIPO E DIM.70 X 13,2 CM</v>
          </cell>
          <cell r="D426" t="str">
            <v xml:space="preserve">PÇ </v>
          </cell>
          <cell r="E426">
            <v>1</v>
          </cell>
          <cell r="F426">
            <v>122.76</v>
          </cell>
          <cell r="G426">
            <v>108.88452933724035</v>
          </cell>
          <cell r="P426">
            <v>108.88452933724035</v>
          </cell>
        </row>
        <row r="427">
          <cell r="A427">
            <v>29023000</v>
          </cell>
          <cell r="B427" t="str">
            <v xml:space="preserve">CMV 3000.23 </v>
          </cell>
          <cell r="C427" t="str">
            <v>PRAÇA 3000 - PISTA DE SKATE - TIPO E DIM.70 X 13,2 CM</v>
          </cell>
          <cell r="D427" t="str">
            <v xml:space="preserve">PÇ </v>
          </cell>
          <cell r="E427">
            <v>1</v>
          </cell>
          <cell r="F427">
            <v>122.76</v>
          </cell>
          <cell r="G427">
            <v>108.88452933724035</v>
          </cell>
          <cell r="P427">
            <v>108.88452933724035</v>
          </cell>
        </row>
        <row r="428">
          <cell r="A428">
            <v>29024000</v>
          </cell>
          <cell r="B428" t="str">
            <v xml:space="preserve">CMV 3000.24 </v>
          </cell>
          <cell r="C428" t="str">
            <v>PRAÇA 3000 - BICICLETÁRIO 3 - TIPO E DIM.70 X 13,2 CM</v>
          </cell>
          <cell r="D428" t="str">
            <v xml:space="preserve">PÇ </v>
          </cell>
          <cell r="E428">
            <v>1</v>
          </cell>
          <cell r="F428">
            <v>122.76</v>
          </cell>
          <cell r="G428">
            <v>108.88452933724035</v>
          </cell>
          <cell r="P428">
            <v>108.88452933724035</v>
          </cell>
        </row>
        <row r="429">
          <cell r="A429">
            <v>29025000</v>
          </cell>
          <cell r="B429" t="str">
            <v xml:space="preserve">CMV 3000.25 </v>
          </cell>
          <cell r="C429" t="str">
            <v>PRAÇA 3000 - PLAYGROUND - TIPO E DIM.70 X 13,2 CM</v>
          </cell>
          <cell r="D429" t="str">
            <v xml:space="preserve">PÇ </v>
          </cell>
          <cell r="E429">
            <v>1</v>
          </cell>
          <cell r="F429">
            <v>122.76</v>
          </cell>
          <cell r="G429">
            <v>108.88452933724035</v>
          </cell>
          <cell r="P429">
            <v>108.88452933724035</v>
          </cell>
        </row>
        <row r="430">
          <cell r="A430">
            <v>29026000</v>
          </cell>
          <cell r="B430" t="str">
            <v xml:space="preserve">CMV 3000.26 </v>
          </cell>
          <cell r="C430" t="str">
            <v>PRAÇA 3000 - EQUIP. GINÁSTICA - TIPO E DIM.70 X 13,2 CM</v>
          </cell>
          <cell r="D430" t="str">
            <v xml:space="preserve">PÇ </v>
          </cell>
          <cell r="E430">
            <v>1</v>
          </cell>
          <cell r="F430">
            <v>122.76</v>
          </cell>
          <cell r="G430">
            <v>108.88452933724035</v>
          </cell>
          <cell r="P430">
            <v>108.88452933724035</v>
          </cell>
        </row>
        <row r="431">
          <cell r="A431">
            <v>29027000</v>
          </cell>
          <cell r="B431" t="str">
            <v xml:space="preserve">CMV 3000.27 </v>
          </cell>
          <cell r="C431" t="str">
            <v>PRAÇA 3000 - MESA DE JOGOS - TIPO E DIM.70 X 13,2 CM</v>
          </cell>
          <cell r="D431" t="str">
            <v xml:space="preserve">PÇ </v>
          </cell>
          <cell r="E431">
            <v>1</v>
          </cell>
          <cell r="F431">
            <v>122.76</v>
          </cell>
          <cell r="G431">
            <v>108.88452933724035</v>
          </cell>
          <cell r="P431">
            <v>108.88452933724035</v>
          </cell>
        </row>
        <row r="432">
          <cell r="A432">
            <v>29028000</v>
          </cell>
          <cell r="B432" t="str">
            <v xml:space="preserve">CMV 3000.28 </v>
          </cell>
          <cell r="C432" t="str">
            <v>QUADRA COBERTA - QUADRA COBERTA - TIPO B DIM.45 X 8,5 CM</v>
          </cell>
          <cell r="D432" t="str">
            <v xml:space="preserve">PÇ </v>
          </cell>
          <cell r="E432">
            <v>1</v>
          </cell>
          <cell r="F432">
            <v>62.76</v>
          </cell>
          <cell r="G432">
            <v>55.666284304376049</v>
          </cell>
          <cell r="P432">
            <v>55.666284304376049</v>
          </cell>
        </row>
        <row r="433">
          <cell r="A433">
            <v>29031000</v>
          </cell>
          <cell r="B433" t="str">
            <v>CMV 3000.29</v>
          </cell>
          <cell r="C433" t="str">
            <v>PLACAS DE SINALIZAÇÃO DE SEGURANÇA EM PLACAS COM LETRAS FOSFORESCENTE, 2 “NÃO FUME” E 2 “SAÍDA “</v>
          </cell>
          <cell r="D433" t="str">
            <v xml:space="preserve">PÇ </v>
          </cell>
          <cell r="E433">
            <v>4</v>
          </cell>
          <cell r="F433">
            <v>52.76</v>
          </cell>
          <cell r="G433">
            <v>46.79657679889867</v>
          </cell>
          <cell r="P433">
            <v>46.79657679889867</v>
          </cell>
        </row>
        <row r="434">
          <cell r="A434">
            <v>30000000</v>
          </cell>
          <cell r="C434" t="str">
            <v xml:space="preserve">SERVIÇOS COMPLEMENTARES </v>
          </cell>
          <cell r="G434">
            <v>0</v>
          </cell>
        </row>
        <row r="435">
          <cell r="A435">
            <v>30001000</v>
          </cell>
          <cell r="B435" t="str">
            <v xml:space="preserve">270802A </v>
          </cell>
          <cell r="C435" t="str">
            <v>BRINQUEDO INFANTIL MULTIUSO DE EUCALIPTO ROLIÇO TRATADO EM AUTOCLAVE PINTADOS COM ESMALTE SINTÉTICO NAS CORES VERDES, AZUL, VERMELHO E AMARELO.(CONFORME ESPECIFICAÇÃO)</v>
          </cell>
          <cell r="D435" t="str">
            <v xml:space="preserve">CJ </v>
          </cell>
          <cell r="E435">
            <v>1</v>
          </cell>
          <cell r="F435">
            <v>5372.32</v>
          </cell>
          <cell r="G435">
            <v>4765.0907025826245</v>
          </cell>
          <cell r="P435">
            <v>4765.0907025826245</v>
          </cell>
        </row>
        <row r="436">
          <cell r="A436">
            <v>30002000</v>
          </cell>
          <cell r="B436" t="str">
            <v xml:space="preserve">270802D </v>
          </cell>
          <cell r="C436" t="str">
            <v>ESPALDAR EM TUBO GALVANIZADO DIAM 2", INCLUSIVE PINTURA EM ESMALTE SINTÉTICO ACETINADO COR VERDE FOLHA (REF. 0114 SUVINIL OU EQUIVALENTE) E TORA DE EUCALIPTO AUTOCLAVADO DIAM. 13CM INCLUSIVE APLICAÇÃO DE OSMOCOLOR, CONFORME PROJETO</v>
          </cell>
          <cell r="D436" t="str">
            <v xml:space="preserve">CJ </v>
          </cell>
          <cell r="E436">
            <v>1</v>
          </cell>
          <cell r="F436">
            <v>677.89</v>
          </cell>
          <cell r="G436">
            <v>601.26860208880623</v>
          </cell>
          <cell r="P436">
            <v>601.26860208880623</v>
          </cell>
        </row>
        <row r="437">
          <cell r="A437">
            <v>30003000</v>
          </cell>
          <cell r="B437" t="str">
            <v xml:space="preserve">270802E </v>
          </cell>
          <cell r="C437" t="str">
            <v>CONJUNTO PRANCHA ABDOMINAL MODELOS A, B, C E D; EM ALVENARIA COM ACABAMENTO EM CHAPISCO E CAIAÇÃO E CIMENTO QUEIMADO COR NATURAL E=5CM (CONFORME PROJETO)</v>
          </cell>
          <cell r="D437" t="str">
            <v xml:space="preserve">CJ </v>
          </cell>
          <cell r="E437">
            <v>1</v>
          </cell>
          <cell r="F437">
            <v>309.39</v>
          </cell>
          <cell r="G437">
            <v>274.41988051196472</v>
          </cell>
          <cell r="P437">
            <v>274.41988051196472</v>
          </cell>
        </row>
        <row r="438">
          <cell r="A438">
            <v>30004000</v>
          </cell>
          <cell r="B438" t="str">
            <v xml:space="preserve">73967/002 </v>
          </cell>
          <cell r="C438" t="str">
            <v>PLANTIO DE ARVORE COM ALTURA MAIOR DO QUE 2,00 METROS (PALMEIRAS)</v>
          </cell>
          <cell r="D438" t="str">
            <v xml:space="preserve">UN </v>
          </cell>
          <cell r="E438">
            <v>9</v>
          </cell>
          <cell r="F438">
            <v>26.87</v>
          </cell>
          <cell r="G438">
            <v>23.832904067217726</v>
          </cell>
          <cell r="P438">
            <v>23.832904067217726</v>
          </cell>
        </row>
        <row r="439">
          <cell r="A439">
            <v>30005000</v>
          </cell>
          <cell r="B439" t="str">
            <v xml:space="preserve">74236/001 </v>
          </cell>
          <cell r="C439" t="str">
            <v>GRAMA BATATAIS EM PLACAS (50X50)CM</v>
          </cell>
          <cell r="D439" t="str">
            <v xml:space="preserve">M2 </v>
          </cell>
          <cell r="E439">
            <v>669.08</v>
          </cell>
          <cell r="F439">
            <v>7.33</v>
          </cell>
          <cell r="G439">
            <v>6.5014956015149208</v>
          </cell>
          <cell r="P439">
            <v>6.5014956015149208</v>
          </cell>
        </row>
        <row r="440">
          <cell r="A440">
            <v>30006000</v>
          </cell>
          <cell r="B440" t="str">
            <v xml:space="preserve">74244/001 </v>
          </cell>
          <cell r="C440" t="str">
            <v>ALAMBRADO PARA QUADRA POLIESPORTIVA, ESTRUTURADA EM TUBO DE AÇO GALV. C/COSTURA DIN 2440, DIÂMETRO 2", E TELA EM ARAME GALVANIZADO 14 BWG, MALHA QUADRADA COM ABERTURA DE 2".</v>
          </cell>
          <cell r="D440" t="str">
            <v xml:space="preserve">M2 </v>
          </cell>
          <cell r="E440">
            <v>195</v>
          </cell>
          <cell r="F440">
            <v>84.35</v>
          </cell>
          <cell r="G440">
            <v>74.815982808701719</v>
          </cell>
          <cell r="P440">
            <v>74.815982808701719</v>
          </cell>
        </row>
        <row r="441">
          <cell r="A441">
            <v>30007000</v>
          </cell>
          <cell r="B441" t="str">
            <v xml:space="preserve">AGS.270802 </v>
          </cell>
          <cell r="C441" t="str">
            <v>MASTRO P/BANDEIRA FERRO GALVANIZADO 3UN</v>
          </cell>
          <cell r="D441" t="str">
            <v xml:space="preserve">CJ </v>
          </cell>
          <cell r="E441">
            <v>1</v>
          </cell>
          <cell r="F441">
            <v>1016.88</v>
          </cell>
          <cell r="G441">
            <v>901.94281681698408</v>
          </cell>
          <cell r="P441">
            <v>901.94281681698408</v>
          </cell>
        </row>
        <row r="442">
          <cell r="A442">
            <v>30008000</v>
          </cell>
          <cell r="B442" t="str">
            <v xml:space="preserve">AGS.271303 </v>
          </cell>
          <cell r="C442" t="str">
            <v>BANCO DE CONCRETO POLIDO (1,50X0,45)M</v>
          </cell>
          <cell r="D442" t="str">
            <v xml:space="preserve">ML </v>
          </cell>
          <cell r="E442">
            <v>31.5</v>
          </cell>
          <cell r="F442">
            <v>51.61</v>
          </cell>
          <cell r="G442">
            <v>45.776560435768772</v>
          </cell>
          <cell r="P442">
            <v>45.776560435768772</v>
          </cell>
        </row>
        <row r="443">
          <cell r="A443">
            <v>30009000</v>
          </cell>
          <cell r="B443" t="str">
            <v xml:space="preserve">COT.270802 </v>
          </cell>
          <cell r="C443" t="str">
            <v>BARRA ASSIMÉTRICA EM TUBO GALVANIZADO DIAM 2", INCLUSIVE PINTURA EM ESMALTE SINTÉTICO ACETINADO COR VERDE FOLHA (REF. 0114 SUVINIL OU EQUIVALENTE) E TORA DE EUCALIPTO AUTOCLAVADO DIAM. 13CM, INCLUSIVE APLICAÇÃO DE OSMOCOLOR, CONFORME PROJETO</v>
          </cell>
          <cell r="D443" t="str">
            <v xml:space="preserve">CJ </v>
          </cell>
          <cell r="E443">
            <v>1</v>
          </cell>
          <cell r="F443">
            <v>684.67</v>
          </cell>
          <cell r="G443">
            <v>607.28226377751992</v>
          </cell>
          <cell r="P443">
            <v>607.28226377751992</v>
          </cell>
        </row>
        <row r="444">
          <cell r="A444">
            <v>30010000</v>
          </cell>
          <cell r="B444" t="str">
            <v xml:space="preserve">COT.270802A </v>
          </cell>
          <cell r="C444" t="str">
            <v>BARRA PARALELA EM TUBO GALVANIZADO DIAM 2", INCLUSIVE PINTURA EM ESMALTE SINTÉTICO ACETINADO COR VERDE FOLHA (REF. 0114 SUVINIL OU EQUIVALENTE) E TORA DE EUCALIPTO AUTOCLAVADO DIAM. 13CM INCLUSIVE APLICAÇÃO DE OSMOCOLOR, CONFORME PROJETO</v>
          </cell>
          <cell r="D444" t="str">
            <v xml:space="preserve">CJ </v>
          </cell>
          <cell r="E444">
            <v>2</v>
          </cell>
          <cell r="F444">
            <v>580.46</v>
          </cell>
          <cell r="G444">
            <v>514.85104186294018</v>
          </cell>
          <cell r="P444">
            <v>514.85104186294018</v>
          </cell>
        </row>
        <row r="445">
          <cell r="A445">
            <v>30011000</v>
          </cell>
          <cell r="B445" t="str">
            <v xml:space="preserve">COT.74126/001A </v>
          </cell>
          <cell r="C445" t="str">
            <v>GRANITO POLIDO PARA BANCADA E=2,5 CM, VERDE UBATUBA (BANCADA PIA 3,30X0,60)M - FORNECIMENTO E INSTALACAO</v>
          </cell>
          <cell r="D445" t="str">
            <v xml:space="preserve">M2 </v>
          </cell>
          <cell r="E445">
            <v>1.59</v>
          </cell>
          <cell r="F445">
            <v>132.05000000000001</v>
          </cell>
          <cell r="G445">
            <v>117.12448760982885</v>
          </cell>
          <cell r="P445">
            <v>117.12448760982885</v>
          </cell>
        </row>
        <row r="446">
          <cell r="A446">
            <v>30012000</v>
          </cell>
          <cell r="B446" t="str">
            <v xml:space="preserve">COT.74126/001C </v>
          </cell>
          <cell r="C446" t="str">
            <v>GRANITO POLIDO PARA BANCADA E=2,5 CM, VERDE UBATUBA (BALCAO EM GRANITO 2,10X0,60)M - FORNECIMENTO E INSTALACAO</v>
          </cell>
          <cell r="D446" t="str">
            <v xml:space="preserve">M2 </v>
          </cell>
          <cell r="E446">
            <v>3.18</v>
          </cell>
          <cell r="F446">
            <v>132.05000000000001</v>
          </cell>
          <cell r="G446">
            <v>117.12448760982885</v>
          </cell>
          <cell r="P446">
            <v>117.12448760982885</v>
          </cell>
        </row>
        <row r="447">
          <cell r="A447">
            <v>30013000</v>
          </cell>
          <cell r="B447" t="str">
            <v xml:space="preserve">COT.74126/001E </v>
          </cell>
          <cell r="C447" t="str">
            <v>GRANITO POLIDO PARA BANCADA E=2,5 CM, VERDE UBATUBA (BANCADA LAVATÓRIO 1,90X0,50)M - FORNECIMENTO E INSTALACAO</v>
          </cell>
          <cell r="D447" t="str">
            <v xml:space="preserve">M2 </v>
          </cell>
          <cell r="E447">
            <v>2.48</v>
          </cell>
          <cell r="F447">
            <v>132.05000000000001</v>
          </cell>
          <cell r="G447">
            <v>117.12448760982885</v>
          </cell>
          <cell r="P447">
            <v>117.12448760982885</v>
          </cell>
        </row>
        <row r="448">
          <cell r="A448">
            <v>30014000</v>
          </cell>
          <cell r="B448" t="str">
            <v>COT.74126/001F</v>
          </cell>
          <cell r="C448" t="str">
            <v>GRANITO POLIDO PARA BANCADA E=2,5 CM, VERDE UBATUBA (BANCADA LAVATÓRIO 0,8 X 0,5)M - FORNECIMENTO E INSTALACAO</v>
          </cell>
          <cell r="D448" t="str">
            <v xml:space="preserve">M2 </v>
          </cell>
          <cell r="E448">
            <v>0.4</v>
          </cell>
          <cell r="F448">
            <v>132.05000000000001</v>
          </cell>
          <cell r="G448">
            <v>117.12448760982885</v>
          </cell>
          <cell r="P448">
            <v>117.12448760982885</v>
          </cell>
        </row>
        <row r="449">
          <cell r="A449">
            <v>30015000</v>
          </cell>
          <cell r="B449" t="str">
            <v xml:space="preserve">COT.SCO.002 </v>
          </cell>
          <cell r="C449" t="str">
            <v>REDE DE PROTEÇÃO QUADRA COBERTA EM NYLON 100% POLIAMIDA (NYLON) MALHA 10X10 EM 02MM NA COR BRANCA FIXADA EM ESTRUTURA METÁLICA</v>
          </cell>
          <cell r="D449" t="str">
            <v xml:space="preserve">M2 </v>
          </cell>
          <cell r="E449">
            <v>80.599999999999994</v>
          </cell>
          <cell r="F449">
            <v>15.75</v>
          </cell>
          <cell r="G449">
            <v>13.969789321126877</v>
          </cell>
          <cell r="P449">
            <v>13.969789321126877</v>
          </cell>
        </row>
        <row r="450">
          <cell r="A450">
            <v>30016000</v>
          </cell>
          <cell r="B450" t="str">
            <v xml:space="preserve">COT.SCO.010 </v>
          </cell>
          <cell r="C450" t="str">
            <v>LIXEIRA DE COLETA SELETIVA COM 4 (QUATRO) CESTOS DE 50L EM POLIETILENO DE ALTA DENSIDADE COM PROTEÇÃO UV E ESTRUTURA METÁLICA EM AÇO CARBONO COM PINTURA EPOXI.</v>
          </cell>
          <cell r="D450" t="str">
            <v xml:space="preserve">UN </v>
          </cell>
          <cell r="E450">
            <v>1</v>
          </cell>
          <cell r="F450">
            <v>603.36</v>
          </cell>
          <cell r="G450">
            <v>535.16267205048337</v>
          </cell>
          <cell r="P450">
            <v>535.16267205048337</v>
          </cell>
        </row>
        <row r="451">
          <cell r="A451">
            <v>30017000</v>
          </cell>
          <cell r="B451" t="str">
            <v xml:space="preserve">CPS.180318 </v>
          </cell>
          <cell r="C451" t="str">
            <v xml:space="preserve">SUPORTE PARA BICICLETA TIPO “U” INVERTIDO, DE FERRO GALVANIZADO DIAM.: 2” COM LAGURA DE 60CM E ALTURA DE 90CM, PINTADO NA COR VERMELHO. </v>
          </cell>
          <cell r="D451" t="str">
            <v xml:space="preserve">UN </v>
          </cell>
          <cell r="E451">
            <v>19</v>
          </cell>
          <cell r="F451">
            <v>202.82</v>
          </cell>
          <cell r="G451">
            <v>179.89540762609226</v>
          </cell>
          <cell r="P451">
            <v>179.89540762609226</v>
          </cell>
        </row>
        <row r="452">
          <cell r="A452">
            <v>30018000</v>
          </cell>
          <cell r="B452" t="str">
            <v xml:space="preserve">CPS.271303 </v>
          </cell>
          <cell r="C452" t="str">
            <v>CONJUNTO DE MESA COM 4 BANCOS EM CONCRETO POLIDO (CONFORME PROJETO)</v>
          </cell>
          <cell r="D452" t="str">
            <v xml:space="preserve">UN </v>
          </cell>
          <cell r="E452">
            <v>4</v>
          </cell>
          <cell r="F452">
            <v>176.41</v>
          </cell>
          <cell r="G452">
            <v>156.4705101041265</v>
          </cell>
          <cell r="P452">
            <v>156.4705101041265</v>
          </cell>
        </row>
        <row r="453">
          <cell r="A453">
            <v>30019000</v>
          </cell>
          <cell r="B453" t="str">
            <v xml:space="preserve">CPS.73967/003A </v>
          </cell>
          <cell r="C453" t="str">
            <v>PLANTIO DE ARVORE ISOLADA ATÉ 2,00M DE ALT, DE QUALQUER ESPECIE, EM LOGRADOURO PUBLICO, INCLUSIVE TRANSPORTE DE TERRA PRETA. INCLUSIVE FORNECIMENTO DA ARVORE</v>
          </cell>
          <cell r="D453" t="str">
            <v xml:space="preserve">UN </v>
          </cell>
          <cell r="E453">
            <v>11</v>
          </cell>
          <cell r="F453">
            <v>20.59</v>
          </cell>
          <cell r="G453">
            <v>18.262727753777931</v>
          </cell>
          <cell r="P453">
            <v>18.262727753777931</v>
          </cell>
        </row>
        <row r="454">
          <cell r="A454">
            <v>30020000</v>
          </cell>
          <cell r="B454" t="str">
            <v xml:space="preserve">CPS.73967/003B </v>
          </cell>
          <cell r="C454" t="str">
            <v>PLANTIO DE ARBUSTOS, EM LOGRADOURO PUBLICO, INCLUSIVE TRANSPORTE DE TERRA PRETA. INCLUSIVE FORNECIMENTO DA ARVORE</v>
          </cell>
          <cell r="D454" t="str">
            <v xml:space="preserve">UN </v>
          </cell>
          <cell r="E454">
            <v>34</v>
          </cell>
          <cell r="F454">
            <v>20.59</v>
          </cell>
          <cell r="G454">
            <v>18.262727753777931</v>
          </cell>
          <cell r="P454">
            <v>18.262727753777931</v>
          </cell>
        </row>
        <row r="455">
          <cell r="A455">
            <v>30021000</v>
          </cell>
          <cell r="B455" t="str">
            <v xml:space="preserve">CPS.74111/001 </v>
          </cell>
          <cell r="C455" t="str">
            <v>PEITORIL DE GRANITO CINZA ANDORINHA, ESPESSURA 2CM, ASSENTADA COM ARGAMASSA COLANTE</v>
          </cell>
          <cell r="D455" t="str">
            <v xml:space="preserve">M </v>
          </cell>
          <cell r="E455">
            <v>58.2</v>
          </cell>
          <cell r="F455">
            <v>42.69</v>
          </cell>
          <cell r="G455">
            <v>37.864781340882942</v>
          </cell>
          <cell r="P455">
            <v>37.864781340882942</v>
          </cell>
        </row>
        <row r="456">
          <cell r="A456">
            <v>31000000</v>
          </cell>
          <cell r="C456" t="str">
            <v xml:space="preserve">PINTURA </v>
          </cell>
          <cell r="G456">
            <v>0</v>
          </cell>
        </row>
        <row r="457">
          <cell r="A457">
            <v>31001000</v>
          </cell>
          <cell r="B457">
            <v>41595</v>
          </cell>
          <cell r="C457" t="str">
            <v>DEMARCACAO COM TINTA ACRILICA PARA PISOS DE FAIXAS EM QUADRA POLIESPORTIVA</v>
          </cell>
          <cell r="D457" t="str">
            <v xml:space="preserve">M </v>
          </cell>
          <cell r="E457">
            <v>88.5</v>
          </cell>
          <cell r="F457">
            <v>4.4000000000000004</v>
          </cell>
          <cell r="G457">
            <v>3.9026713024100483</v>
          </cell>
          <cell r="P457">
            <v>3.9026713024100483</v>
          </cell>
        </row>
        <row r="458">
          <cell r="A458">
            <v>31002000</v>
          </cell>
          <cell r="B458" t="str">
            <v xml:space="preserve">73750/001 </v>
          </cell>
          <cell r="C458" t="str">
            <v>PINTURA LATEX PVA AMBIENTES INTERNOS, DUAS DEMAOS COR BRANCO NEVE (FORRO)</v>
          </cell>
          <cell r="D458" t="str">
            <v xml:space="preserve">M2 </v>
          </cell>
          <cell r="E458">
            <v>450.59</v>
          </cell>
          <cell r="F458">
            <v>6.72</v>
          </cell>
          <cell r="G458">
            <v>5.9604434436808003</v>
          </cell>
          <cell r="P458">
            <v>5.9604434436808003</v>
          </cell>
        </row>
        <row r="459">
          <cell r="A459">
            <v>31003000</v>
          </cell>
          <cell r="B459" t="str">
            <v xml:space="preserve">73954/002 </v>
          </cell>
          <cell r="C459" t="str">
            <v>PINTURA LATEX ACRILICA AMBIENTES INTERNOS/EXTERNOS, DUAS DEMAOS NA COR BRANCO NEVE (PAREDE)</v>
          </cell>
          <cell r="D459" t="str">
            <v xml:space="preserve">M2 </v>
          </cell>
          <cell r="E459">
            <v>1056.69</v>
          </cell>
          <cell r="F459">
            <v>10.38</v>
          </cell>
          <cell r="G459">
            <v>9.2067563906855234</v>
          </cell>
        </row>
        <row r="460">
          <cell r="A460">
            <v>31004000</v>
          </cell>
          <cell r="B460" t="str">
            <v xml:space="preserve">73955/002 </v>
          </cell>
          <cell r="C460" t="str">
            <v>EMASSAMENTO COM MASSA LATEX PVA PARA AMBIENTES INTERNOS, DUAS DEMAOS</v>
          </cell>
          <cell r="D460" t="str">
            <v xml:space="preserve">M2 </v>
          </cell>
          <cell r="E460">
            <v>568.30999999999995</v>
          </cell>
          <cell r="F460">
            <v>7.52</v>
          </cell>
          <cell r="G460">
            <v>6.6700200441189912</v>
          </cell>
        </row>
        <row r="461">
          <cell r="A461">
            <v>31005000</v>
          </cell>
          <cell r="B461" t="str">
            <v xml:space="preserve">74134/002 </v>
          </cell>
          <cell r="C461" t="str">
            <v>EMASSAMENTO COM MASSA ACRILICA PARA AMBIENTES INTERNOS/EXTERNOS, DUAS DEMAOS</v>
          </cell>
          <cell r="D461" t="str">
            <v xml:space="preserve">M2 </v>
          </cell>
          <cell r="E461">
            <v>2131.91</v>
          </cell>
          <cell r="F461">
            <v>9.7799999999999994</v>
          </cell>
          <cell r="G461">
            <v>8.6745739403568791</v>
          </cell>
        </row>
        <row r="462">
          <cell r="A462">
            <v>31006000</v>
          </cell>
          <cell r="B462" t="str">
            <v xml:space="preserve">74145/001 </v>
          </cell>
          <cell r="C462" t="str">
            <v>PINTURA EM ESMALTE SINTETICO EM PECAS METALICAS UTILIZANDO REVOLVER/COMPRESSOR, DUAS DEMAOS, INCLUSO UMA DEMAO FUNDO OXIDO DE FERRO/ZARCAO (ALAMBRADO)</v>
          </cell>
          <cell r="D462" t="str">
            <v xml:space="preserve">M2 </v>
          </cell>
          <cell r="E462">
            <v>390</v>
          </cell>
          <cell r="F462">
            <v>10.88</v>
          </cell>
          <cell r="G462">
            <v>9.6502417659593931</v>
          </cell>
        </row>
        <row r="463">
          <cell r="A463">
            <v>31007000</v>
          </cell>
          <cell r="B463" t="str">
            <v xml:space="preserve">74245/001 </v>
          </cell>
          <cell r="C463" t="str">
            <v>PINTURA COM TINTA ACRILICA PARA PISOS EM QUADRAS POLIESPORTIVAS</v>
          </cell>
          <cell r="D463" t="str">
            <v xml:space="preserve">M2 </v>
          </cell>
          <cell r="E463">
            <v>410.67</v>
          </cell>
          <cell r="F463">
            <v>6.57</v>
          </cell>
          <cell r="G463">
            <v>5.8273978310986401</v>
          </cell>
        </row>
        <row r="464">
          <cell r="A464">
            <v>31008000</v>
          </cell>
          <cell r="B464" t="str">
            <v xml:space="preserve">AGS.261608 </v>
          </cell>
          <cell r="C464" t="str">
            <v>PINTURA À BASE DE BORRACHA CLORADA , COR CINZA MÉDIO , EM 02 (DUAS) DEMÃOS, SOBRE PISO EM CONCRETO RÚSTICO</v>
          </cell>
          <cell r="D464" t="str">
            <v xml:space="preserve">M2 </v>
          </cell>
          <cell r="E464">
            <v>74.2</v>
          </cell>
          <cell r="F464">
            <v>14.04</v>
          </cell>
          <cell r="G464">
            <v>12.453069337690243</v>
          </cell>
        </row>
        <row r="465">
          <cell r="A465">
            <v>31009000</v>
          </cell>
          <cell r="B465" t="str">
            <v xml:space="preserve">CPS.73746/001 </v>
          </cell>
          <cell r="C465" t="str">
            <v>PINTURA COM TINTA TEXTURIZADA ACRILICA PARA AMBIENTES (FACHADA)</v>
          </cell>
          <cell r="D465" t="str">
            <v xml:space="preserve">M2 </v>
          </cell>
          <cell r="E465">
            <v>919.14</v>
          </cell>
          <cell r="F465">
            <v>12.06</v>
          </cell>
          <cell r="G465">
            <v>10.696867251605724</v>
          </cell>
        </row>
        <row r="466">
          <cell r="A466">
            <v>31010000</v>
          </cell>
          <cell r="B466" t="str">
            <v xml:space="preserve">CPS.73954/002A </v>
          </cell>
          <cell r="C466" t="str">
            <v>PINTURA LATEX ACRILICA AMBIENTES INTERNOS/EXTERNOS, DUAS DEMAOS COR PRETO FOSCO (FORRO)</v>
          </cell>
          <cell r="D466" t="str">
            <v xml:space="preserve">M2 </v>
          </cell>
          <cell r="E466">
            <v>117.73</v>
          </cell>
          <cell r="F466">
            <v>10.38</v>
          </cell>
          <cell r="G466">
            <v>9.2067563906855234</v>
          </cell>
          <cell r="P466">
            <v>9.2067563906855234</v>
          </cell>
        </row>
        <row r="467">
          <cell r="A467">
            <v>31011000</v>
          </cell>
          <cell r="B467" t="str">
            <v xml:space="preserve">CPS.73954/002B </v>
          </cell>
          <cell r="C467" t="str">
            <v>PINTURA LATEX ACRILICA AMBIENTES INTERNOS/EXTERNOS, DUAS DEMAOS NA COR PRETO FOSCO (PAREDE)</v>
          </cell>
          <cell r="D467" t="str">
            <v xml:space="preserve">M2 </v>
          </cell>
          <cell r="E467">
            <v>226.35999999999999</v>
          </cell>
          <cell r="F467">
            <v>10.38</v>
          </cell>
          <cell r="G467">
            <v>9.2067563906855234</v>
          </cell>
          <cell r="P467">
            <v>9.2067563906855234</v>
          </cell>
        </row>
        <row r="468">
          <cell r="A468">
            <v>32000000</v>
          </cell>
          <cell r="C468" t="str">
            <v xml:space="preserve">LIMPEZA FINAL DE OBRA </v>
          </cell>
          <cell r="G468">
            <v>0</v>
          </cell>
        </row>
        <row r="469">
          <cell r="A469">
            <v>32001000</v>
          </cell>
          <cell r="B469">
            <v>9537</v>
          </cell>
          <cell r="C469" t="str">
            <v>LIMPEZA FINAL DA OBRA</v>
          </cell>
          <cell r="D469" t="str">
            <v xml:space="preserve">M2 </v>
          </cell>
          <cell r="E469">
            <v>3000</v>
          </cell>
          <cell r="F469">
            <v>0.98</v>
          </cell>
          <cell r="G469">
            <v>0.86923133553678344</v>
          </cell>
          <cell r="P469">
            <v>0.86923133553678344</v>
          </cell>
        </row>
        <row r="470">
          <cell r="A470">
            <v>33000000</v>
          </cell>
          <cell r="C470" t="str">
            <v xml:space="preserve">ADMINISTRAÇÃO </v>
          </cell>
          <cell r="G470">
            <v>0</v>
          </cell>
        </row>
        <row r="471">
          <cell r="A471">
            <v>33001000</v>
          </cell>
          <cell r="B471" t="str">
            <v xml:space="preserve">ADM.001 </v>
          </cell>
          <cell r="C471" t="str">
            <v>ENGENHEIRO PLENO</v>
          </cell>
          <cell r="D471" t="str">
            <v xml:space="preserve">H </v>
          </cell>
          <cell r="E471">
            <v>1320</v>
          </cell>
          <cell r="F471">
            <v>86.02</v>
          </cell>
          <cell r="G471">
            <v>76.297223962116433</v>
          </cell>
          <cell r="P471">
            <v>76.297223962116433</v>
          </cell>
        </row>
        <row r="472">
          <cell r="A472">
            <v>33002000</v>
          </cell>
          <cell r="B472" t="str">
            <v xml:space="preserve">ADM.002 </v>
          </cell>
          <cell r="C472" t="str">
            <v>ENGENHEIRO ELETRICISTA PLENO</v>
          </cell>
          <cell r="D472" t="str">
            <v xml:space="preserve">H </v>
          </cell>
          <cell r="E472">
            <v>220</v>
          </cell>
          <cell r="F472">
            <v>86.02</v>
          </cell>
          <cell r="G472">
            <v>76.297223962116433</v>
          </cell>
          <cell r="P472">
            <v>76.297223962116433</v>
          </cell>
        </row>
        <row r="473">
          <cell r="A473">
            <v>33003000</v>
          </cell>
          <cell r="B473" t="str">
            <v xml:space="preserve">ADM.003 </v>
          </cell>
          <cell r="C473" t="str">
            <v>MESTRE DE OBRAS</v>
          </cell>
          <cell r="D473" t="str">
            <v xml:space="preserve">H </v>
          </cell>
          <cell r="E473">
            <v>1320</v>
          </cell>
          <cell r="F473">
            <v>33.380000000000003</v>
          </cell>
          <cell r="G473">
            <v>29.607083653283503</v>
          </cell>
          <cell r="P473">
            <v>29.607083653283503</v>
          </cell>
        </row>
        <row r="474">
          <cell r="A474">
            <v>33004000</v>
          </cell>
          <cell r="B474" t="str">
            <v>ADM.004</v>
          </cell>
          <cell r="C474" t="str">
            <v>VIGIA NOTURNO</v>
          </cell>
          <cell r="D474" t="str">
            <v xml:space="preserve">H </v>
          </cell>
          <cell r="E474">
            <v>2640</v>
          </cell>
          <cell r="F474">
            <v>7.55</v>
          </cell>
          <cell r="G474">
            <v>6.6966291666354234</v>
          </cell>
          <cell r="P474">
            <v>6.6966291666354234</v>
          </cell>
        </row>
        <row r="475">
          <cell r="A475">
            <v>33005000</v>
          </cell>
          <cell r="B475" t="str">
            <v>ADM.005</v>
          </cell>
          <cell r="C475" t="str">
            <v>EPI / PCMAT / PCMSO</v>
          </cell>
          <cell r="G475">
            <v>0</v>
          </cell>
          <cell r="P475">
            <v>0</v>
          </cell>
        </row>
        <row r="476">
          <cell r="A476">
            <v>33006000</v>
          </cell>
          <cell r="B476" t="str">
            <v>EPI-BOT-010</v>
          </cell>
          <cell r="C476" t="str">
            <v>BOTINA SOLADO INJETADO COM BIQUEIRA DE AÇO</v>
          </cell>
          <cell r="D476" t="str">
            <v>PAR</v>
          </cell>
          <cell r="E476">
            <v>25</v>
          </cell>
          <cell r="F476">
            <v>30.36</v>
          </cell>
          <cell r="G476">
            <v>26.928431986629331</v>
          </cell>
          <cell r="P476">
            <v>26.928431986629331</v>
          </cell>
        </row>
        <row r="477">
          <cell r="A477">
            <v>33007000</v>
          </cell>
          <cell r="B477" t="str">
            <v>EPI-BOT-015</v>
          </cell>
          <cell r="C477" t="str">
            <v>BOTA DE BORRACHA TIPO SETE LÉGUAS CANO  LONGO</v>
          </cell>
          <cell r="D477" t="str">
            <v>PAR</v>
          </cell>
          <cell r="E477">
            <v>25</v>
          </cell>
          <cell r="F477">
            <v>31.63</v>
          </cell>
          <cell r="G477">
            <v>28.054884839824958</v>
          </cell>
          <cell r="P477">
            <v>28.054884839824958</v>
          </cell>
        </row>
        <row r="478">
          <cell r="A478">
            <v>33008000</v>
          </cell>
          <cell r="B478" t="str">
            <v>EPI-CAP-005</v>
          </cell>
          <cell r="C478" t="str">
            <v>CAPA PARA CHUVA TIPO MORCEGO</v>
          </cell>
          <cell r="D478" t="str">
            <v xml:space="preserve">UN </v>
          </cell>
          <cell r="E478">
            <v>20</v>
          </cell>
          <cell r="F478">
            <v>13.25</v>
          </cell>
          <cell r="G478">
            <v>11.752362444757532</v>
          </cell>
          <cell r="P478">
            <v>11.752362444757532</v>
          </cell>
        </row>
        <row r="479">
          <cell r="A479">
            <v>33009000</v>
          </cell>
          <cell r="B479" t="str">
            <v>EPI-CAP-25</v>
          </cell>
          <cell r="C479" t="str">
            <v>CAPACETE UNIVERSO</v>
          </cell>
          <cell r="D479" t="str">
            <v xml:space="preserve">UN </v>
          </cell>
          <cell r="E479">
            <v>20</v>
          </cell>
          <cell r="F479">
            <v>11</v>
          </cell>
          <cell r="G479">
            <v>9.7566782560251202</v>
          </cell>
          <cell r="P479">
            <v>9.7566782560251202</v>
          </cell>
        </row>
        <row r="480">
          <cell r="A480">
            <v>33010000</v>
          </cell>
          <cell r="B480" t="str">
            <v>EPI-CIN-005</v>
          </cell>
          <cell r="C480" t="str">
            <v>CINTO DE SEGURANÇA TIPO PARAQUEDISTA</v>
          </cell>
          <cell r="D480" t="str">
            <v xml:space="preserve">UN </v>
          </cell>
          <cell r="E480">
            <v>5</v>
          </cell>
          <cell r="F480">
            <v>40.17</v>
          </cell>
          <cell r="G480">
            <v>35.629615049502647</v>
          </cell>
          <cell r="P480">
            <v>35.629615049502647</v>
          </cell>
        </row>
        <row r="481">
          <cell r="A481">
            <v>33011000</v>
          </cell>
          <cell r="B481" t="str">
            <v>EPI-LUV-005</v>
          </cell>
          <cell r="C481" t="str">
            <v>LUVA DE BORRACHA MUCAMBO</v>
          </cell>
          <cell r="D481" t="str">
            <v>PAR</v>
          </cell>
          <cell r="E481">
            <v>24</v>
          </cell>
          <cell r="F481">
            <v>2.4700000000000002</v>
          </cell>
          <cell r="G481">
            <v>2.1908177538529134</v>
          </cell>
          <cell r="P481">
            <v>2.1908177538529134</v>
          </cell>
        </row>
        <row r="482">
          <cell r="A482">
            <v>33012000</v>
          </cell>
          <cell r="B482" t="str">
            <v>EPI-MAS-010</v>
          </cell>
          <cell r="C482" t="str">
            <v>MÁSCARA CONTRA PÓ</v>
          </cell>
          <cell r="D482" t="str">
            <v xml:space="preserve">UN </v>
          </cell>
          <cell r="E482">
            <v>10</v>
          </cell>
          <cell r="F482">
            <v>2.1</v>
          </cell>
          <cell r="G482">
            <v>1.8626385761502504</v>
          </cell>
          <cell r="P482">
            <v>1.8626385761502504</v>
          </cell>
        </row>
        <row r="483">
          <cell r="A483">
            <v>33013000</v>
          </cell>
          <cell r="B483" t="str">
            <v>EPI-UNI-005</v>
          </cell>
          <cell r="C483" t="str">
            <v>UNIFORME</v>
          </cell>
          <cell r="D483" t="str">
            <v xml:space="preserve">UN </v>
          </cell>
          <cell r="E483">
            <v>24</v>
          </cell>
          <cell r="F483">
            <v>30</v>
          </cell>
          <cell r="G483">
            <v>26.609122516432148</v>
          </cell>
          <cell r="P483">
            <v>26.609122516432148</v>
          </cell>
        </row>
        <row r="484">
          <cell r="A484">
            <v>33014000</v>
          </cell>
          <cell r="B484" t="str">
            <v>MST-PCM-005</v>
          </cell>
          <cell r="C484" t="str">
            <v>PCMAT</v>
          </cell>
          <cell r="D484" t="str">
            <v xml:space="preserve">UN </v>
          </cell>
          <cell r="E484">
            <v>1</v>
          </cell>
          <cell r="F484">
            <v>1500</v>
          </cell>
          <cell r="G484">
            <v>1330.4561258216074</v>
          </cell>
          <cell r="P484">
            <v>1330.4561258216074</v>
          </cell>
        </row>
        <row r="485">
          <cell r="A485">
            <v>33015000</v>
          </cell>
          <cell r="B485" t="str">
            <v>MST-PCS-005</v>
          </cell>
          <cell r="C485" t="str">
            <v>PCSMO</v>
          </cell>
          <cell r="D485" t="str">
            <v xml:space="preserve">UN </v>
          </cell>
          <cell r="E485">
            <v>6</v>
          </cell>
          <cell r="F485">
            <v>150</v>
          </cell>
          <cell r="G485">
            <v>133.04561258216074</v>
          </cell>
          <cell r="P485">
            <v>133.04561258216074</v>
          </cell>
        </row>
        <row r="486">
          <cell r="A486">
            <v>33016000</v>
          </cell>
          <cell r="B486" t="str">
            <v>MST-TER-005</v>
          </cell>
          <cell r="C486" t="str">
            <v>TREINAMENTO DE SEGURANÇA NO TRABALHO</v>
          </cell>
          <cell r="D486" t="str">
            <v xml:space="preserve">UN </v>
          </cell>
          <cell r="E486">
            <v>20</v>
          </cell>
          <cell r="F486">
            <v>15</v>
          </cell>
          <cell r="G486">
            <v>13.304561258216074</v>
          </cell>
          <cell r="P486">
            <v>13.304561258216074</v>
          </cell>
        </row>
        <row r="487">
          <cell r="A487">
            <v>33006000</v>
          </cell>
          <cell r="B487" t="str">
            <v>ADM.006</v>
          </cell>
          <cell r="C487" t="str">
            <v>REFEIÇÃO</v>
          </cell>
          <cell r="D487" t="str">
            <v xml:space="preserve">UN </v>
          </cell>
          <cell r="E487">
            <v>3000</v>
          </cell>
          <cell r="F487">
            <v>5.99</v>
          </cell>
          <cell r="G487">
            <v>5.3129547957809518</v>
          </cell>
          <cell r="P487">
            <v>5.3129547957809518</v>
          </cell>
        </row>
        <row r="488">
          <cell r="A488">
            <v>33007000</v>
          </cell>
          <cell r="B488" t="str">
            <v>ADM.007</v>
          </cell>
          <cell r="C488" t="str">
            <v>TRANSPORTE IDA/VOLTA</v>
          </cell>
          <cell r="D488" t="str">
            <v xml:space="preserve">UN </v>
          </cell>
          <cell r="E488">
            <v>3000</v>
          </cell>
          <cell r="F488">
            <v>3.99</v>
          </cell>
          <cell r="G488">
            <v>3.5390132946854758</v>
          </cell>
          <cell r="P488">
            <v>3.5390132946854758</v>
          </cell>
        </row>
        <row r="489">
          <cell r="A489">
            <v>33008000</v>
          </cell>
          <cell r="B489" t="str">
            <v>ADM.008</v>
          </cell>
          <cell r="C489" t="str">
            <v>AS BUILT</v>
          </cell>
          <cell r="D489" t="str">
            <v xml:space="preserve">UN </v>
          </cell>
          <cell r="E489">
            <v>1</v>
          </cell>
          <cell r="F489">
            <v>4500</v>
          </cell>
          <cell r="G489">
            <v>3991.3683774648221</v>
          </cell>
          <cell r="P489">
            <v>3991.3683774648221</v>
          </cell>
        </row>
        <row r="490">
          <cell r="A490">
            <v>33009000</v>
          </cell>
          <cell r="B490">
            <v>73585</v>
          </cell>
          <cell r="C490" t="str">
            <v xml:space="preserve"> CAMINHAO CARROCERIA FIXA FORD F-12000 12T / 142CV  (TRANSPORTES DE MATERIAIS/MOBILIZAÇÃO E DESMOBILIZAÇÃO)</v>
          </cell>
          <cell r="D490" t="str">
            <v xml:space="preserve">CHP   </v>
          </cell>
          <cell r="E490">
            <v>80</v>
          </cell>
          <cell r="F490">
            <v>85.52</v>
          </cell>
          <cell r="G490">
            <v>75.853738586842567</v>
          </cell>
          <cell r="P490">
            <v>75.853738586842567</v>
          </cell>
        </row>
      </sheetData>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A1005"/>
  <sheetViews>
    <sheetView tabSelected="1" topLeftCell="A498" zoomScale="80" zoomScaleNormal="80" workbookViewId="0">
      <selection activeCell="V518" sqref="V518"/>
    </sheetView>
  </sheetViews>
  <sheetFormatPr defaultColWidth="9.42578125" defaultRowHeight="15"/>
  <cols>
    <col min="1" max="1" width="11.5703125" style="1" customWidth="1"/>
    <col min="2" max="2" width="9.28515625" style="56" customWidth="1"/>
    <col min="3" max="3" width="65.5703125" style="56" customWidth="1"/>
    <col min="4" max="4" width="3.85546875" style="57" customWidth="1"/>
    <col min="5" max="5" width="10.7109375" style="58" customWidth="1"/>
    <col min="6" max="6" width="8.85546875" style="58" customWidth="1"/>
    <col min="7" max="7" width="9.5703125" style="58" customWidth="1"/>
    <col min="8" max="8" width="20.85546875" style="58" customWidth="1"/>
    <col min="9" max="9" width="10.140625" style="58" hidden="1" customWidth="1"/>
    <col min="10" max="10" width="8.85546875" style="58" hidden="1" customWidth="1"/>
    <col min="11" max="11" width="8.7109375" style="58" hidden="1" customWidth="1"/>
    <col min="12" max="12" width="12.85546875" style="58" hidden="1" customWidth="1"/>
    <col min="13" max="13" width="9.42578125" style="70" hidden="1" customWidth="1"/>
    <col min="14" max="14" width="9" style="58" hidden="1" customWidth="1"/>
    <col min="15" max="15" width="9.28515625" style="58" hidden="1" customWidth="1"/>
    <col min="16" max="16" width="12.42578125" style="58" hidden="1" customWidth="1"/>
    <col min="17" max="17" width="12.7109375" style="1" hidden="1" customWidth="1"/>
    <col min="18" max="18" width="9.42578125" style="1" hidden="1" customWidth="1"/>
    <col min="19" max="19" width="0" style="1" hidden="1" customWidth="1"/>
    <col min="20" max="20" width="20.7109375" style="58" customWidth="1"/>
    <col min="21" max="21" width="31" style="1" customWidth="1"/>
    <col min="22" max="22" width="21.140625" style="1" customWidth="1"/>
    <col min="23" max="16384" width="9.42578125" style="1"/>
  </cols>
  <sheetData>
    <row r="1" spans="1:20">
      <c r="A1" s="177"/>
      <c r="B1" s="177"/>
      <c r="C1" s="177"/>
      <c r="D1" s="177"/>
      <c r="E1" s="177"/>
      <c r="F1" s="177"/>
      <c r="G1" s="177"/>
      <c r="H1" s="177"/>
      <c r="T1" s="1"/>
    </row>
    <row r="2" spans="1:20">
      <c r="A2" s="177"/>
      <c r="B2" s="177"/>
      <c r="C2" s="177"/>
      <c r="D2" s="177"/>
      <c r="E2" s="177"/>
      <c r="F2" s="177"/>
      <c r="G2" s="177"/>
      <c r="H2" s="177"/>
      <c r="T2" s="1"/>
    </row>
    <row r="3" spans="1:20">
      <c r="A3" s="177"/>
      <c r="B3" s="177"/>
      <c r="C3" s="177"/>
      <c r="D3" s="177"/>
      <c r="E3" s="177"/>
      <c r="F3" s="177"/>
      <c r="G3" s="177"/>
      <c r="H3" s="177"/>
      <c r="T3" s="1"/>
    </row>
    <row r="4" spans="1:20">
      <c r="A4" s="178"/>
      <c r="B4" s="178"/>
      <c r="C4" s="178"/>
      <c r="D4" s="178"/>
      <c r="E4" s="178"/>
      <c r="F4" s="178"/>
      <c r="G4" s="178"/>
      <c r="H4" s="178"/>
      <c r="I4" s="2"/>
      <c r="J4" s="2"/>
      <c r="K4" s="2"/>
      <c r="L4" s="2"/>
      <c r="M4" s="3"/>
      <c r="N4" s="2"/>
      <c r="O4" s="2"/>
      <c r="P4" s="2"/>
      <c r="T4" s="1"/>
    </row>
    <row r="5" spans="1:20" ht="14.1" customHeight="1">
      <c r="A5" s="182" t="s">
        <v>1</v>
      </c>
      <c r="B5" s="182"/>
      <c r="C5" s="182"/>
      <c r="D5" s="182"/>
      <c r="E5" s="182"/>
      <c r="F5" s="182"/>
      <c r="G5" s="182"/>
      <c r="H5" s="182"/>
      <c r="I5" s="4"/>
      <c r="J5" s="4"/>
      <c r="K5" s="4"/>
      <c r="L5" s="4"/>
      <c r="M5" s="5"/>
      <c r="N5" s="4"/>
      <c r="O5" s="4"/>
      <c r="P5" s="4"/>
      <c r="Q5" s="74"/>
      <c r="R5" s="74"/>
      <c r="S5" s="74"/>
      <c r="T5" s="74"/>
    </row>
    <row r="6" spans="1:20">
      <c r="A6" s="182"/>
      <c r="B6" s="182"/>
      <c r="C6" s="182"/>
      <c r="D6" s="182"/>
      <c r="E6" s="182"/>
      <c r="F6" s="182"/>
      <c r="G6" s="182"/>
      <c r="H6" s="182"/>
      <c r="I6" s="4"/>
      <c r="J6" s="4"/>
      <c r="K6" s="4"/>
      <c r="L6" s="4"/>
      <c r="M6" s="5"/>
      <c r="N6" s="4"/>
      <c r="O6" s="4"/>
      <c r="P6" s="4"/>
      <c r="Q6" s="74"/>
      <c r="R6" s="74"/>
      <c r="S6" s="74"/>
      <c r="T6" s="74"/>
    </row>
    <row r="7" spans="1:20" ht="10.5" customHeight="1">
      <c r="A7" s="182"/>
      <c r="B7" s="182"/>
      <c r="C7" s="182"/>
      <c r="D7" s="182"/>
      <c r="E7" s="182"/>
      <c r="F7" s="182"/>
      <c r="G7" s="182"/>
      <c r="H7" s="182"/>
      <c r="I7" s="4"/>
      <c r="J7" s="4"/>
      <c r="K7" s="4"/>
      <c r="L7" s="4"/>
      <c r="M7" s="5"/>
      <c r="N7" s="4"/>
      <c r="O7" s="4"/>
      <c r="P7" s="4"/>
      <c r="Q7" s="74"/>
      <c r="R7" s="74"/>
      <c r="S7" s="74"/>
      <c r="T7" s="74"/>
    </row>
    <row r="8" spans="1:20" ht="24" hidden="1" customHeight="1">
      <c r="A8" s="182"/>
      <c r="B8" s="182"/>
      <c r="C8" s="182"/>
      <c r="D8" s="182"/>
      <c r="E8" s="182"/>
      <c r="F8" s="182"/>
      <c r="G8" s="182"/>
      <c r="H8" s="182"/>
      <c r="I8" s="4"/>
      <c r="J8" s="4"/>
      <c r="K8" s="4"/>
      <c r="L8" s="4"/>
      <c r="M8" s="5"/>
      <c r="N8" s="4"/>
      <c r="O8" s="4"/>
      <c r="P8" s="4"/>
      <c r="Q8" s="74"/>
      <c r="R8" s="74"/>
      <c r="S8" s="74"/>
      <c r="T8" s="74"/>
    </row>
    <row r="9" spans="1:20" hidden="1">
      <c r="A9" s="178"/>
      <c r="B9" s="178"/>
      <c r="C9" s="178"/>
      <c r="D9" s="178"/>
      <c r="E9" s="178"/>
      <c r="F9" s="178"/>
      <c r="G9" s="178"/>
      <c r="H9" s="178"/>
      <c r="I9" s="178"/>
      <c r="J9" s="178"/>
      <c r="K9" s="178"/>
      <c r="L9" s="178"/>
      <c r="M9" s="178"/>
      <c r="N9" s="178"/>
      <c r="O9" s="178"/>
      <c r="P9" s="178"/>
      <c r="T9" s="1"/>
    </row>
    <row r="10" spans="1:20" ht="46.5" customHeight="1">
      <c r="A10" s="183" t="s">
        <v>0</v>
      </c>
      <c r="B10" s="184"/>
      <c r="C10" s="186" t="s">
        <v>750</v>
      </c>
      <c r="D10" s="186"/>
      <c r="E10" s="186"/>
      <c r="F10" s="186"/>
      <c r="G10" s="186"/>
      <c r="H10" s="186"/>
      <c r="I10" s="185" t="s">
        <v>1</v>
      </c>
      <c r="J10" s="185"/>
      <c r="K10" s="185"/>
      <c r="L10" s="185"/>
      <c r="M10" s="185"/>
      <c r="N10" s="185"/>
      <c r="O10" s="185"/>
      <c r="P10" s="185"/>
      <c r="Q10" s="151"/>
      <c r="R10" s="151"/>
      <c r="S10" s="151"/>
      <c r="T10" s="152"/>
    </row>
    <row r="11" spans="1:20" ht="14.25" customHeight="1">
      <c r="A11" s="188" t="s">
        <v>2</v>
      </c>
      <c r="B11" s="189"/>
      <c r="C11" s="190"/>
      <c r="D11" s="190"/>
      <c r="E11" s="191"/>
      <c r="F11" s="191"/>
      <c r="G11" s="191"/>
      <c r="H11" s="191"/>
      <c r="I11" s="192"/>
      <c r="J11" s="192"/>
      <c r="K11" s="192"/>
      <c r="L11" s="192"/>
      <c r="M11" s="192"/>
      <c r="N11" s="192"/>
      <c r="O11" s="192"/>
      <c r="P11" s="192"/>
      <c r="Q11" s="74"/>
      <c r="R11" s="74"/>
      <c r="S11" s="74"/>
      <c r="T11" s="153"/>
    </row>
    <row r="12" spans="1:20" ht="14.25" customHeight="1">
      <c r="A12" s="188" t="s">
        <v>3</v>
      </c>
      <c r="B12" s="193"/>
      <c r="C12" s="73" t="s">
        <v>4</v>
      </c>
      <c r="D12" s="194" t="s">
        <v>751</v>
      </c>
      <c r="E12" s="194"/>
      <c r="F12" s="194"/>
      <c r="G12" s="194"/>
      <c r="H12" s="194"/>
      <c r="I12" s="192"/>
      <c r="J12" s="192"/>
      <c r="K12" s="192"/>
      <c r="L12" s="192"/>
      <c r="M12" s="192"/>
      <c r="N12" s="192"/>
      <c r="O12" s="192"/>
      <c r="P12" s="192"/>
      <c r="Q12" s="74"/>
      <c r="R12" s="74"/>
      <c r="S12" s="74"/>
      <c r="T12" s="153"/>
    </row>
    <row r="13" spans="1:20" ht="14.25" customHeight="1">
      <c r="A13" s="195" t="s">
        <v>5</v>
      </c>
      <c r="B13" s="196"/>
      <c r="C13" s="196"/>
      <c r="D13" s="196"/>
      <c r="E13" s="196"/>
      <c r="F13" s="196"/>
      <c r="G13" s="196"/>
      <c r="H13" s="196"/>
      <c r="I13" s="196"/>
      <c r="J13" s="196"/>
      <c r="K13" s="196"/>
      <c r="L13" s="196"/>
      <c r="M13" s="196"/>
      <c r="N13" s="196"/>
      <c r="O13" s="196"/>
      <c r="P13" s="196"/>
      <c r="Q13" s="74"/>
      <c r="R13" s="74"/>
      <c r="S13" s="74"/>
      <c r="T13" s="153"/>
    </row>
    <row r="14" spans="1:20" ht="14.25" customHeight="1">
      <c r="A14" s="154"/>
      <c r="B14" s="155"/>
      <c r="C14" s="155"/>
      <c r="D14" s="197"/>
      <c r="E14" s="197"/>
      <c r="F14" s="197"/>
      <c r="G14" s="197"/>
      <c r="H14" s="197"/>
      <c r="I14" s="198" t="s">
        <v>6</v>
      </c>
      <c r="J14" s="199"/>
      <c r="K14" s="199"/>
      <c r="L14" s="199"/>
      <c r="M14" s="198" t="s">
        <v>7</v>
      </c>
      <c r="N14" s="199"/>
      <c r="O14" s="199"/>
      <c r="P14" s="199"/>
      <c r="Q14" s="156"/>
      <c r="R14" s="156"/>
      <c r="S14" s="156"/>
      <c r="T14" s="157"/>
    </row>
    <row r="15" spans="1:20" ht="63.75">
      <c r="A15" s="150" t="s">
        <v>8</v>
      </c>
      <c r="B15" s="150" t="s">
        <v>9</v>
      </c>
      <c r="C15" s="150" t="s">
        <v>10</v>
      </c>
      <c r="D15" s="150" t="s">
        <v>11</v>
      </c>
      <c r="E15" s="150" t="s">
        <v>12</v>
      </c>
      <c r="F15" s="150" t="s">
        <v>13</v>
      </c>
      <c r="G15" s="150" t="s">
        <v>756</v>
      </c>
      <c r="H15" s="150" t="s">
        <v>754</v>
      </c>
      <c r="I15" s="75" t="s">
        <v>12</v>
      </c>
      <c r="J15" s="72" t="s">
        <v>13</v>
      </c>
      <c r="K15" s="72" t="s">
        <v>14</v>
      </c>
      <c r="L15" s="72" t="s">
        <v>15</v>
      </c>
      <c r="M15" s="72" t="s">
        <v>12</v>
      </c>
      <c r="N15" s="72" t="s">
        <v>13</v>
      </c>
      <c r="O15" s="72" t="s">
        <v>14</v>
      </c>
      <c r="P15" s="72" t="s">
        <v>15</v>
      </c>
      <c r="Q15" s="74"/>
      <c r="R15" s="74"/>
      <c r="S15" s="74"/>
      <c r="T15" s="150" t="s">
        <v>755</v>
      </c>
    </row>
    <row r="16" spans="1:20" ht="14.25" hidden="1" customHeight="1">
      <c r="A16" s="85">
        <v>1000000</v>
      </c>
      <c r="B16" s="86"/>
      <c r="C16" s="200" t="s">
        <v>16</v>
      </c>
      <c r="D16" s="200"/>
      <c r="E16" s="200"/>
      <c r="F16" s="200"/>
      <c r="G16" s="142"/>
      <c r="H16" s="87">
        <f>SUM(H17:H22)</f>
        <v>25101.737367075613</v>
      </c>
      <c r="I16" s="159"/>
      <c r="J16" s="159"/>
      <c r="K16" s="6"/>
      <c r="L16" s="7">
        <f>SUM(L17:L22)</f>
        <v>25101.737367075613</v>
      </c>
      <c r="M16" s="159"/>
      <c r="N16" s="159"/>
      <c r="O16" s="6"/>
      <c r="P16" s="7">
        <f>SUM(P17:P22)</f>
        <v>2050.9145091734781</v>
      </c>
      <c r="Q16" s="148">
        <f>L16+P16</f>
        <v>27152.651876249092</v>
      </c>
      <c r="R16" s="74"/>
      <c r="S16" s="74"/>
      <c r="T16" s="87">
        <f>SUM(T17:T22)</f>
        <v>0</v>
      </c>
    </row>
    <row r="17" spans="1:20" ht="28.5" hidden="1" customHeight="1">
      <c r="A17" s="88">
        <v>1001000</v>
      </c>
      <c r="B17" s="89" t="s">
        <v>17</v>
      </c>
      <c r="C17" s="89" t="s">
        <v>18</v>
      </c>
      <c r="D17" s="90" t="s">
        <v>19</v>
      </c>
      <c r="E17" s="91">
        <v>1</v>
      </c>
      <c r="F17" s="11">
        <f>VLOOKUP(A17,'[1]CORREÇÃO DOS ITENS DIVERGENTES'!$A$13:$G$490,7)</f>
        <v>777.09281396988445</v>
      </c>
      <c r="G17" s="91">
        <f t="shared" ref="G17:G76" si="0">F17*1.2735</f>
        <v>989.62769859064792</v>
      </c>
      <c r="H17" s="12">
        <f t="shared" ref="H17:H22" si="1">E17*G17</f>
        <v>989.62769859064792</v>
      </c>
      <c r="I17" s="13">
        <v>1</v>
      </c>
      <c r="J17" s="11">
        <f t="shared" ref="J17:J22" si="2">F17</f>
        <v>777.09281396988445</v>
      </c>
      <c r="K17" s="10">
        <f t="shared" ref="K17:K32" si="3">J17*1.2735</f>
        <v>989.62769859064792</v>
      </c>
      <c r="L17" s="12">
        <f>I17*K17</f>
        <v>989.62769859064792</v>
      </c>
      <c r="M17" s="11">
        <v>0</v>
      </c>
      <c r="N17" s="11">
        <f t="shared" ref="N17:N22" si="4">J17</f>
        <v>777.09281396988445</v>
      </c>
      <c r="O17" s="10">
        <f t="shared" ref="O17:O32" si="5">N17*1.2735</f>
        <v>989.62769859064792</v>
      </c>
      <c r="P17" s="12">
        <f>M17*O17</f>
        <v>0</v>
      </c>
      <c r="Q17" s="148"/>
      <c r="R17" s="74"/>
      <c r="S17" s="14">
        <f>F17-'[1]CORREÇÃO DOS ITENS DIVERGENTES'!$P13</f>
        <v>0</v>
      </c>
      <c r="T17" s="12">
        <f t="shared" ref="T17:T22" si="6">Q17*S17</f>
        <v>0</v>
      </c>
    </row>
    <row r="18" spans="1:20" ht="22.5" hidden="1">
      <c r="A18" s="88">
        <v>1002000</v>
      </c>
      <c r="B18" s="89" t="s">
        <v>20</v>
      </c>
      <c r="C18" s="89" t="s">
        <v>21</v>
      </c>
      <c r="D18" s="90" t="s">
        <v>22</v>
      </c>
      <c r="E18" s="91">
        <v>1197.46</v>
      </c>
      <c r="F18" s="11">
        <f>VLOOKUP(A18,'[1]CORREÇÃO DOS ITENS DIVERGENTES'!$A$13:$G$490,7)</f>
        <v>4.4614628752551235</v>
      </c>
      <c r="G18" s="91">
        <f t="shared" si="0"/>
        <v>5.6816729716374006</v>
      </c>
      <c r="H18" s="12">
        <f t="shared" si="1"/>
        <v>6803.5761166169223</v>
      </c>
      <c r="I18" s="13">
        <v>1197.46</v>
      </c>
      <c r="J18" s="11">
        <f t="shared" si="2"/>
        <v>4.4614628752551235</v>
      </c>
      <c r="K18" s="10">
        <f t="shared" si="3"/>
        <v>5.6816729716374006</v>
      </c>
      <c r="L18" s="12">
        <f t="shared" ref="L18:L22" si="7">I18*K18</f>
        <v>6803.5761166169223</v>
      </c>
      <c r="M18" s="11">
        <v>0</v>
      </c>
      <c r="N18" s="11">
        <f t="shared" si="4"/>
        <v>4.4614628752551235</v>
      </c>
      <c r="O18" s="10">
        <f t="shared" si="5"/>
        <v>5.6816729716374006</v>
      </c>
      <c r="P18" s="12">
        <f t="shared" ref="P18:P86" si="8">M18*O18</f>
        <v>0</v>
      </c>
      <c r="Q18" s="148"/>
      <c r="R18" s="74"/>
      <c r="S18" s="14">
        <f>F18-'[1]CORREÇÃO DOS ITENS DIVERGENTES'!$P14</f>
        <v>0</v>
      </c>
      <c r="T18" s="12">
        <f t="shared" si="6"/>
        <v>0</v>
      </c>
    </row>
    <row r="19" spans="1:20" hidden="1">
      <c r="A19" s="92">
        <v>1003000</v>
      </c>
      <c r="B19" s="89" t="s">
        <v>23</v>
      </c>
      <c r="C19" s="89" t="s">
        <v>24</v>
      </c>
      <c r="D19" s="90" t="s">
        <v>22</v>
      </c>
      <c r="E19" s="91">
        <v>420</v>
      </c>
      <c r="F19" s="11">
        <f>VLOOKUP(A19,'[1]CORREÇÃO DOS ITENS DIVERGENTES'!$A$13:$G$490,7)</f>
        <v>25.163360193039335</v>
      </c>
      <c r="G19" s="91">
        <f t="shared" si="0"/>
        <v>32.045539205835595</v>
      </c>
      <c r="H19" s="12">
        <f t="shared" si="1"/>
        <v>13459.126466450951</v>
      </c>
      <c r="I19" s="13">
        <v>420</v>
      </c>
      <c r="J19" s="11">
        <f t="shared" si="2"/>
        <v>25.163360193039335</v>
      </c>
      <c r="K19" s="10">
        <f t="shared" si="3"/>
        <v>32.045539205835595</v>
      </c>
      <c r="L19" s="12">
        <f t="shared" si="7"/>
        <v>13459.126466450951</v>
      </c>
      <c r="M19" s="11">
        <v>64</v>
      </c>
      <c r="N19" s="11">
        <f t="shared" si="4"/>
        <v>25.163360193039335</v>
      </c>
      <c r="O19" s="10">
        <f t="shared" si="5"/>
        <v>32.045539205835595</v>
      </c>
      <c r="P19" s="12">
        <f t="shared" si="8"/>
        <v>2050.9145091734781</v>
      </c>
      <c r="Q19" s="148"/>
      <c r="R19" s="74"/>
      <c r="S19" s="14">
        <f>F19-'[1]CORREÇÃO DOS ITENS DIVERGENTES'!$P15</f>
        <v>0</v>
      </c>
      <c r="T19" s="12">
        <f t="shared" si="6"/>
        <v>0</v>
      </c>
    </row>
    <row r="20" spans="1:20" hidden="1">
      <c r="A20" s="88">
        <v>1004000</v>
      </c>
      <c r="B20" s="93">
        <v>73960</v>
      </c>
      <c r="C20" s="94" t="s">
        <v>25</v>
      </c>
      <c r="D20" s="95" t="s">
        <v>26</v>
      </c>
      <c r="E20" s="91">
        <v>1</v>
      </c>
      <c r="F20" s="11">
        <f>VLOOKUP(A20,'[1]CORREÇÃO DOS ITENS DIVERGENTES'!$A$13:$G$490,7)</f>
        <v>828.34198393653276</v>
      </c>
      <c r="G20" s="91">
        <f t="shared" si="0"/>
        <v>1054.8935165431744</v>
      </c>
      <c r="H20" s="12">
        <f t="shared" si="1"/>
        <v>1054.8935165431744</v>
      </c>
      <c r="I20" s="13">
        <v>1</v>
      </c>
      <c r="J20" s="11">
        <f t="shared" si="2"/>
        <v>828.34198393653276</v>
      </c>
      <c r="K20" s="10">
        <f t="shared" si="3"/>
        <v>1054.8935165431744</v>
      </c>
      <c r="L20" s="12">
        <f t="shared" si="7"/>
        <v>1054.8935165431744</v>
      </c>
      <c r="M20" s="11">
        <v>0</v>
      </c>
      <c r="N20" s="11">
        <f t="shared" si="4"/>
        <v>828.34198393653276</v>
      </c>
      <c r="O20" s="10">
        <f t="shared" si="5"/>
        <v>1054.8935165431744</v>
      </c>
      <c r="P20" s="12">
        <f t="shared" si="8"/>
        <v>0</v>
      </c>
      <c r="Q20" s="148"/>
      <c r="R20" s="74"/>
      <c r="S20" s="14">
        <f>F20-'[1]CORREÇÃO DOS ITENS DIVERGENTES'!$P16</f>
        <v>0</v>
      </c>
      <c r="T20" s="12">
        <f t="shared" si="6"/>
        <v>0</v>
      </c>
    </row>
    <row r="21" spans="1:20" hidden="1">
      <c r="A21" s="88">
        <v>1005000</v>
      </c>
      <c r="B21" s="96">
        <v>75680</v>
      </c>
      <c r="C21" s="96" t="s">
        <v>27</v>
      </c>
      <c r="D21" s="90" t="s">
        <v>22</v>
      </c>
      <c r="E21" s="91">
        <v>1802.54</v>
      </c>
      <c r="F21" s="11">
        <f>VLOOKUP(A21,'[1]CORREÇÃO DOS ITENS DIVERGENTES'!$A$13:$G$490,7)</f>
        <v>0.29270034768075365</v>
      </c>
      <c r="G21" s="91">
        <f t="shared" si="0"/>
        <v>0.37275389277143978</v>
      </c>
      <c r="H21" s="12">
        <f t="shared" si="1"/>
        <v>671.903801876231</v>
      </c>
      <c r="I21" s="13">
        <v>1802.54</v>
      </c>
      <c r="J21" s="11">
        <f t="shared" si="2"/>
        <v>0.29270034768075365</v>
      </c>
      <c r="K21" s="10">
        <f t="shared" si="3"/>
        <v>0.37275389277143978</v>
      </c>
      <c r="L21" s="12">
        <f t="shared" si="7"/>
        <v>671.903801876231</v>
      </c>
      <c r="M21" s="11">
        <v>0</v>
      </c>
      <c r="N21" s="11">
        <f t="shared" si="4"/>
        <v>0.29270034768075365</v>
      </c>
      <c r="O21" s="10">
        <f t="shared" si="5"/>
        <v>0.37275389277143978</v>
      </c>
      <c r="P21" s="12">
        <f t="shared" si="8"/>
        <v>0</v>
      </c>
      <c r="Q21" s="148"/>
      <c r="R21" s="74"/>
      <c r="S21" s="14">
        <f>F21-'[1]CORREÇÃO DOS ITENS DIVERGENTES'!$P17</f>
        <v>0</v>
      </c>
      <c r="T21" s="12">
        <f t="shared" si="6"/>
        <v>0</v>
      </c>
    </row>
    <row r="22" spans="1:20" hidden="1">
      <c r="A22" s="88">
        <v>1006000</v>
      </c>
      <c r="B22" s="94" t="s">
        <v>28</v>
      </c>
      <c r="C22" s="94" t="s">
        <v>29</v>
      </c>
      <c r="D22" s="95" t="s">
        <v>30</v>
      </c>
      <c r="E22" s="97">
        <v>8.8000000000000007</v>
      </c>
      <c r="F22" s="11">
        <f>VLOOKUP(A22,'[1]CORREÇÃO DOS ITENS DIVERGENTES'!$A$13:$G$490,7)</f>
        <v>189.40373407196401</v>
      </c>
      <c r="G22" s="91">
        <f t="shared" si="0"/>
        <v>241.20565534064619</v>
      </c>
      <c r="H22" s="12">
        <f t="shared" si="1"/>
        <v>2122.6097669976866</v>
      </c>
      <c r="I22" s="15">
        <v>8.8000000000000007</v>
      </c>
      <c r="J22" s="11">
        <f t="shared" si="2"/>
        <v>189.40373407196401</v>
      </c>
      <c r="K22" s="10">
        <f t="shared" si="3"/>
        <v>241.20565534064619</v>
      </c>
      <c r="L22" s="12">
        <f t="shared" si="7"/>
        <v>2122.6097669976866</v>
      </c>
      <c r="M22" s="11">
        <v>0</v>
      </c>
      <c r="N22" s="11">
        <f t="shared" si="4"/>
        <v>189.40373407196401</v>
      </c>
      <c r="O22" s="10">
        <f t="shared" si="5"/>
        <v>241.20565534064619</v>
      </c>
      <c r="P22" s="12">
        <f t="shared" si="8"/>
        <v>0</v>
      </c>
      <c r="Q22" s="148"/>
      <c r="R22" s="74"/>
      <c r="S22" s="14">
        <f>F22-'[1]CORREÇÃO DOS ITENS DIVERGENTES'!$P18</f>
        <v>0</v>
      </c>
      <c r="T22" s="12">
        <f t="shared" si="6"/>
        <v>0</v>
      </c>
    </row>
    <row r="23" spans="1:20" s="8" customFormat="1" ht="14.25" hidden="1" customHeight="1">
      <c r="A23" s="85">
        <v>2000000</v>
      </c>
      <c r="B23" s="98"/>
      <c r="C23" s="187" t="s">
        <v>31</v>
      </c>
      <c r="D23" s="187"/>
      <c r="E23" s="187"/>
      <c r="F23" s="187"/>
      <c r="G23" s="142"/>
      <c r="H23" s="87">
        <f>SUM(H24:H26)</f>
        <v>15294.529978272225</v>
      </c>
      <c r="I23" s="159"/>
      <c r="J23" s="159"/>
      <c r="K23" s="16"/>
      <c r="L23" s="17">
        <f>SUM(L24:L26)</f>
        <v>15294.529978272225</v>
      </c>
      <c r="M23" s="159"/>
      <c r="N23" s="159"/>
      <c r="O23" s="16"/>
      <c r="P23" s="17">
        <f>SUM(P24:P26)</f>
        <v>0</v>
      </c>
      <c r="Q23" s="160">
        <f t="shared" ref="Q23:Q83" si="9">L23+P23</f>
        <v>15294.529978272225</v>
      </c>
      <c r="R23" s="159"/>
      <c r="S23" s="159"/>
      <c r="T23" s="87">
        <f>SUM(T24:T26)</f>
        <v>0</v>
      </c>
    </row>
    <row r="24" spans="1:20" ht="18" hidden="1" customHeight="1">
      <c r="A24" s="88">
        <v>2001000</v>
      </c>
      <c r="B24" s="89">
        <v>72209</v>
      </c>
      <c r="C24" s="89" t="s">
        <v>32</v>
      </c>
      <c r="D24" s="90" t="s">
        <v>33</v>
      </c>
      <c r="E24" s="91">
        <v>240</v>
      </c>
      <c r="F24" s="11">
        <f>VLOOKUP(A24,'[1]CORREÇÃO DOS ITENS DIVERGENTES'!$A$13:$G$490,7)</f>
        <v>7.734384944776278</v>
      </c>
      <c r="G24" s="91">
        <f t="shared" si="0"/>
        <v>9.8497392271725914</v>
      </c>
      <c r="H24" s="12">
        <f>E24*G24</f>
        <v>2363.9374145214219</v>
      </c>
      <c r="I24" s="13">
        <v>240</v>
      </c>
      <c r="J24" s="11">
        <f>F24</f>
        <v>7.734384944776278</v>
      </c>
      <c r="K24" s="10">
        <f t="shared" si="3"/>
        <v>9.8497392271725914</v>
      </c>
      <c r="L24" s="12">
        <f>I24*K24</f>
        <v>2363.9374145214219</v>
      </c>
      <c r="M24" s="11">
        <v>0</v>
      </c>
      <c r="N24" s="11">
        <f t="shared" ref="N24:N26" si="10">J24</f>
        <v>7.734384944776278</v>
      </c>
      <c r="O24" s="10">
        <f t="shared" si="5"/>
        <v>9.8497392271725914</v>
      </c>
      <c r="P24" s="12">
        <f t="shared" si="8"/>
        <v>0</v>
      </c>
      <c r="Q24" s="148"/>
      <c r="R24" s="74"/>
      <c r="S24" s="14">
        <f>F24-'[1]CORREÇÃO DOS ITENS DIVERGENTES'!$P20</f>
        <v>0</v>
      </c>
      <c r="T24" s="12">
        <f>Q24*S24</f>
        <v>0</v>
      </c>
    </row>
    <row r="25" spans="1:20" hidden="1">
      <c r="A25" s="88">
        <v>2002000</v>
      </c>
      <c r="B25" s="89" t="s">
        <v>34</v>
      </c>
      <c r="C25" s="89" t="s">
        <v>35</v>
      </c>
      <c r="D25" s="90" t="s">
        <v>22</v>
      </c>
      <c r="E25" s="11">
        <v>3000</v>
      </c>
      <c r="F25" s="11">
        <f>VLOOKUP(A25,'[1]CORREÇÃO DOS ITENS DIVERGENTES'!$A$13:$G$490,7)</f>
        <v>1.3481955408325621</v>
      </c>
      <c r="G25" s="91">
        <f t="shared" si="0"/>
        <v>1.7169270212502679</v>
      </c>
      <c r="H25" s="12">
        <f>E25*G25</f>
        <v>5150.7810637508037</v>
      </c>
      <c r="I25" s="19">
        <v>3000</v>
      </c>
      <c r="J25" s="11">
        <f>F25</f>
        <v>1.3481955408325621</v>
      </c>
      <c r="K25" s="10">
        <f t="shared" si="3"/>
        <v>1.7169270212502679</v>
      </c>
      <c r="L25" s="12">
        <f t="shared" ref="L25:L26" si="11">I25*K25</f>
        <v>5150.7810637508037</v>
      </c>
      <c r="M25" s="11">
        <v>0</v>
      </c>
      <c r="N25" s="11">
        <f t="shared" si="10"/>
        <v>1.3481955408325621</v>
      </c>
      <c r="O25" s="10">
        <f t="shared" si="5"/>
        <v>1.7169270212502679</v>
      </c>
      <c r="P25" s="12">
        <f t="shared" si="8"/>
        <v>0</v>
      </c>
      <c r="Q25" s="148"/>
      <c r="R25" s="74"/>
      <c r="S25" s="14">
        <f>F25-'[1]CORREÇÃO DOS ITENS DIVERGENTES'!$P21</f>
        <v>0</v>
      </c>
      <c r="T25" s="12">
        <f>Q25*S25</f>
        <v>0</v>
      </c>
    </row>
    <row r="26" spans="1:20" ht="22.5" hidden="1">
      <c r="A26" s="88">
        <v>2003000</v>
      </c>
      <c r="B26" s="89" t="s">
        <v>36</v>
      </c>
      <c r="C26" s="89" t="s">
        <v>37</v>
      </c>
      <c r="D26" s="90" t="s">
        <v>22</v>
      </c>
      <c r="E26" s="91">
        <v>50</v>
      </c>
      <c r="F26" s="11">
        <f>VLOOKUP(A26,'[1]CORREÇÃO DOS ITENS DIVERGENTES'!$A$13:$G$490,7)</f>
        <v>122.18</v>
      </c>
      <c r="G26" s="91">
        <f t="shared" si="0"/>
        <v>155.59623000000002</v>
      </c>
      <c r="H26" s="12">
        <f>E26*G26</f>
        <v>7779.8115000000007</v>
      </c>
      <c r="I26" s="13">
        <v>50</v>
      </c>
      <c r="J26" s="11">
        <f>F26</f>
        <v>122.18</v>
      </c>
      <c r="K26" s="10">
        <f t="shared" si="3"/>
        <v>155.59623000000002</v>
      </c>
      <c r="L26" s="12">
        <f t="shared" si="11"/>
        <v>7779.8115000000007</v>
      </c>
      <c r="M26" s="11">
        <v>0</v>
      </c>
      <c r="N26" s="11">
        <f t="shared" si="10"/>
        <v>122.18</v>
      </c>
      <c r="O26" s="10">
        <f t="shared" si="5"/>
        <v>155.59623000000002</v>
      </c>
      <c r="P26" s="12">
        <f t="shared" si="8"/>
        <v>0</v>
      </c>
      <c r="Q26" s="148"/>
      <c r="R26" s="74"/>
      <c r="S26" s="14">
        <f>F26-'[1]CORREÇÃO DOS ITENS DIVERGENTES'!$P22</f>
        <v>0</v>
      </c>
      <c r="T26" s="12">
        <f>Q26*S26</f>
        <v>0</v>
      </c>
    </row>
    <row r="27" spans="1:20" s="8" customFormat="1" ht="14.25" hidden="1" customHeight="1">
      <c r="A27" s="85">
        <v>3000000</v>
      </c>
      <c r="B27" s="98"/>
      <c r="C27" s="187" t="s">
        <v>38</v>
      </c>
      <c r="D27" s="187"/>
      <c r="E27" s="187"/>
      <c r="F27" s="187"/>
      <c r="G27" s="142"/>
      <c r="H27" s="87">
        <f>SUM(H28:H32)</f>
        <v>640.90694362205909</v>
      </c>
      <c r="I27" s="159"/>
      <c r="J27" s="159"/>
      <c r="K27" s="16"/>
      <c r="L27" s="17">
        <f>SUM(L28:L32)</f>
        <v>640.90694362205909</v>
      </c>
      <c r="M27" s="159"/>
      <c r="N27" s="159"/>
      <c r="O27" s="16"/>
      <c r="P27" s="17">
        <f>SUM(P28:P32)</f>
        <v>4895.8004577363763</v>
      </c>
      <c r="Q27" s="160">
        <f t="shared" si="9"/>
        <v>5536.7074013584352</v>
      </c>
      <c r="R27" s="159"/>
      <c r="S27" s="159"/>
      <c r="T27" s="87">
        <f>SUM(T28:T32)</f>
        <v>0</v>
      </c>
    </row>
    <row r="28" spans="1:20" hidden="1">
      <c r="A28" s="92">
        <v>3001000</v>
      </c>
      <c r="B28" s="89">
        <v>55835</v>
      </c>
      <c r="C28" s="89" t="s">
        <v>39</v>
      </c>
      <c r="D28" s="90" t="s">
        <v>33</v>
      </c>
      <c r="E28" s="91">
        <v>4.62</v>
      </c>
      <c r="F28" s="11">
        <f>VLOOKUP(A28,'[1]CORREÇÃO DOS ITENS DIVERGENTES'!$A$13:$G$490,7)</f>
        <v>18.981174061721596</v>
      </c>
      <c r="G28" s="91">
        <f t="shared" si="0"/>
        <v>24.172525167602455</v>
      </c>
      <c r="H28" s="12">
        <f>E28*G28</f>
        <v>111.67706627432334</v>
      </c>
      <c r="I28" s="13">
        <v>4.62</v>
      </c>
      <c r="J28" s="11">
        <f>F28</f>
        <v>18.981174061721596</v>
      </c>
      <c r="K28" s="10">
        <f t="shared" si="3"/>
        <v>24.172525167602455</v>
      </c>
      <c r="L28" s="12">
        <f>I28*K28</f>
        <v>111.67706627432334</v>
      </c>
      <c r="M28" s="11">
        <v>186.42</v>
      </c>
      <c r="N28" s="11">
        <f t="shared" ref="N28:N32" si="12">J28</f>
        <v>18.981174061721596</v>
      </c>
      <c r="O28" s="10">
        <f t="shared" si="5"/>
        <v>24.172525167602455</v>
      </c>
      <c r="P28" s="12">
        <f t="shared" si="8"/>
        <v>4506.2421417444493</v>
      </c>
      <c r="Q28" s="148"/>
      <c r="R28" s="74"/>
      <c r="S28" s="14">
        <f>F28-'[1]CORREÇÃO DOS ITENS DIVERGENTES'!$P24</f>
        <v>0</v>
      </c>
      <c r="T28" s="12">
        <f>Q28*S28</f>
        <v>0</v>
      </c>
    </row>
    <row r="29" spans="1:20" ht="22.5" hidden="1">
      <c r="A29" s="88">
        <v>3002000</v>
      </c>
      <c r="B29" s="89">
        <v>5626</v>
      </c>
      <c r="C29" s="89" t="s">
        <v>40</v>
      </c>
      <c r="D29" s="90" t="s">
        <v>41</v>
      </c>
      <c r="E29" s="91">
        <v>60.03</v>
      </c>
      <c r="F29" s="11">
        <f>VLOOKUP(A29,'[1]CORREÇÃO DOS ITENS DIVERGENTES'!$A$13:$G$490,7)</f>
        <v>0.51444303531768809</v>
      </c>
      <c r="G29" s="91">
        <f t="shared" si="0"/>
        <v>0.65514320547707583</v>
      </c>
      <c r="H29" s="12">
        <f>E29*G29</f>
        <v>39.328246624788861</v>
      </c>
      <c r="I29" s="13">
        <v>60.03</v>
      </c>
      <c r="J29" s="11">
        <f>F29</f>
        <v>0.51444303531768809</v>
      </c>
      <c r="K29" s="10">
        <f t="shared" si="3"/>
        <v>0.65514320547707583</v>
      </c>
      <c r="L29" s="12">
        <f t="shared" ref="L29:L32" si="13">I29*K29</f>
        <v>39.328246624788861</v>
      </c>
      <c r="M29" s="11">
        <v>0</v>
      </c>
      <c r="N29" s="11">
        <f t="shared" si="12"/>
        <v>0.51444303531768809</v>
      </c>
      <c r="O29" s="10">
        <f t="shared" si="5"/>
        <v>0.65514320547707583</v>
      </c>
      <c r="P29" s="12">
        <f t="shared" si="8"/>
        <v>0</v>
      </c>
      <c r="Q29" s="148"/>
      <c r="R29" s="74"/>
      <c r="S29" s="14">
        <f>F29-'[1]CORREÇÃO DOS ITENS DIVERGENTES'!$P25</f>
        <v>0</v>
      </c>
      <c r="T29" s="12">
        <f>Q29*S29</f>
        <v>0</v>
      </c>
    </row>
    <row r="30" spans="1:20" hidden="1">
      <c r="A30" s="92">
        <v>3003000</v>
      </c>
      <c r="B30" s="89" t="s">
        <v>42</v>
      </c>
      <c r="C30" s="89" t="s">
        <v>43</v>
      </c>
      <c r="D30" s="90" t="s">
        <v>33</v>
      </c>
      <c r="E30" s="91">
        <v>4.62</v>
      </c>
      <c r="F30" s="11">
        <f>VLOOKUP(A30,'[1]CORREÇÃO DOS ITENS DIVERGENTES'!$A$13:$G$490,7)</f>
        <v>1.6408958885133158</v>
      </c>
      <c r="G30" s="91">
        <f t="shared" si="0"/>
        <v>2.0896809140217076</v>
      </c>
      <c r="H30" s="12">
        <f>E30*G30</f>
        <v>9.6543258227802902</v>
      </c>
      <c r="I30" s="13">
        <v>4.62</v>
      </c>
      <c r="J30" s="11">
        <f>F30</f>
        <v>1.6408958885133158</v>
      </c>
      <c r="K30" s="10">
        <f t="shared" si="3"/>
        <v>2.0896809140217076</v>
      </c>
      <c r="L30" s="12">
        <f t="shared" si="13"/>
        <v>9.6543258227802902</v>
      </c>
      <c r="M30" s="11">
        <v>186.42</v>
      </c>
      <c r="N30" s="11">
        <f t="shared" si="12"/>
        <v>1.6408958885133158</v>
      </c>
      <c r="O30" s="10">
        <f t="shared" si="5"/>
        <v>2.0896809140217076</v>
      </c>
      <c r="P30" s="12">
        <f t="shared" si="8"/>
        <v>389.55831599192669</v>
      </c>
      <c r="Q30" s="148"/>
      <c r="R30" s="74"/>
      <c r="S30" s="14">
        <f>F30-'[1]CORREÇÃO DOS ITENS DIVERGENTES'!$P26</f>
        <v>0</v>
      </c>
      <c r="T30" s="12">
        <f>Q30*S30</f>
        <v>0</v>
      </c>
    </row>
    <row r="31" spans="1:20" ht="22.5" hidden="1">
      <c r="A31" s="88">
        <v>3004000</v>
      </c>
      <c r="B31" s="89" t="s">
        <v>44</v>
      </c>
      <c r="C31" s="89" t="s">
        <v>45</v>
      </c>
      <c r="D31" s="90" t="s">
        <v>33</v>
      </c>
      <c r="E31" s="91">
        <v>60.03</v>
      </c>
      <c r="F31" s="11">
        <f>VLOOKUP(A31,'[1]CORREÇÃO DOS ITENS DIVERGENTES'!$A$13:$G$490,7)</f>
        <v>0.78940396798748702</v>
      </c>
      <c r="G31" s="91">
        <f t="shared" si="0"/>
        <v>1.0053059532320647</v>
      </c>
      <c r="H31" s="12">
        <f>E31*G31</f>
        <v>60.348516372520848</v>
      </c>
      <c r="I31" s="13">
        <v>60.03</v>
      </c>
      <c r="J31" s="11">
        <f>F31</f>
        <v>0.78940396798748702</v>
      </c>
      <c r="K31" s="10">
        <f t="shared" si="3"/>
        <v>1.0053059532320647</v>
      </c>
      <c r="L31" s="12">
        <f t="shared" si="13"/>
        <v>60.348516372520848</v>
      </c>
      <c r="M31" s="11">
        <v>0</v>
      </c>
      <c r="N31" s="11">
        <f t="shared" si="12"/>
        <v>0.78940396798748702</v>
      </c>
      <c r="O31" s="10">
        <f t="shared" si="5"/>
        <v>1.0053059532320647</v>
      </c>
      <c r="P31" s="12">
        <f t="shared" si="8"/>
        <v>0</v>
      </c>
      <c r="Q31" s="148"/>
      <c r="R31" s="74"/>
      <c r="S31" s="14">
        <f>F31-'[1]CORREÇÃO DOS ITENS DIVERGENTES'!$P27</f>
        <v>0</v>
      </c>
      <c r="T31" s="12">
        <f>Q31*S31</f>
        <v>0</v>
      </c>
    </row>
    <row r="32" spans="1:20" ht="22.5" hidden="1">
      <c r="A32" s="88">
        <v>3005000</v>
      </c>
      <c r="B32" s="89" t="s">
        <v>46</v>
      </c>
      <c r="C32" s="89" t="s">
        <v>47</v>
      </c>
      <c r="D32" s="90" t="s">
        <v>33</v>
      </c>
      <c r="E32" s="91">
        <v>64.650000000000006</v>
      </c>
      <c r="F32" s="11">
        <f>VLOOKUP(A32,'[1]CORREÇÃO DOS ITENS DIVERGENTES'!$A$13:$G$490,7)</f>
        <v>5.1000818156494949</v>
      </c>
      <c r="G32" s="91">
        <f t="shared" si="0"/>
        <v>6.4949541922296321</v>
      </c>
      <c r="H32" s="12">
        <f>E32*G32</f>
        <v>419.89878852764576</v>
      </c>
      <c r="I32" s="13">
        <v>64.650000000000006</v>
      </c>
      <c r="J32" s="11">
        <f>F32</f>
        <v>5.1000818156494949</v>
      </c>
      <c r="K32" s="10">
        <f t="shared" si="3"/>
        <v>6.4949541922296321</v>
      </c>
      <c r="L32" s="12">
        <f t="shared" si="13"/>
        <v>419.89878852764576</v>
      </c>
      <c r="M32" s="11">
        <v>0</v>
      </c>
      <c r="N32" s="11">
        <f t="shared" si="12"/>
        <v>5.1000818156494949</v>
      </c>
      <c r="O32" s="10">
        <f t="shared" si="5"/>
        <v>6.4949541922296321</v>
      </c>
      <c r="P32" s="12">
        <f t="shared" si="8"/>
        <v>0</v>
      </c>
      <c r="Q32" s="148"/>
      <c r="R32" s="74"/>
      <c r="S32" s="14">
        <f>F32-'[1]CORREÇÃO DOS ITENS DIVERGENTES'!$P28</f>
        <v>0</v>
      </c>
      <c r="T32" s="12">
        <f>Q32*S32</f>
        <v>0</v>
      </c>
    </row>
    <row r="33" spans="1:20" s="8" customFormat="1" ht="14.25" hidden="1" customHeight="1">
      <c r="A33" s="85">
        <v>4000000</v>
      </c>
      <c r="B33" s="98"/>
      <c r="C33" s="187" t="s">
        <v>48</v>
      </c>
      <c r="D33" s="187"/>
      <c r="E33" s="187"/>
      <c r="F33" s="187"/>
      <c r="G33" s="142"/>
      <c r="H33" s="87">
        <f>SUM(H34:H45)</f>
        <v>31524.922089569653</v>
      </c>
      <c r="I33" s="159"/>
      <c r="J33" s="159"/>
      <c r="K33" s="20"/>
      <c r="L33" s="21">
        <f>SUM(L34:L45)</f>
        <v>35493.42777126615</v>
      </c>
      <c r="M33" s="159"/>
      <c r="N33" s="159"/>
      <c r="O33" s="20"/>
      <c r="P33" s="17">
        <f>SUM(P34:P45)</f>
        <v>4038.7975775922814</v>
      </c>
      <c r="Q33" s="160">
        <f>L33+P33</f>
        <v>39532.225348858432</v>
      </c>
      <c r="R33" s="159"/>
      <c r="S33" s="159"/>
      <c r="T33" s="87">
        <f>SUM(T34:T45)</f>
        <v>0</v>
      </c>
    </row>
    <row r="34" spans="1:20" hidden="1">
      <c r="A34" s="88">
        <v>4001000</v>
      </c>
      <c r="B34" s="89">
        <v>5651</v>
      </c>
      <c r="C34" s="89" t="s">
        <v>49</v>
      </c>
      <c r="D34" s="90" t="s">
        <v>22</v>
      </c>
      <c r="E34" s="91">
        <v>312.72000000000003</v>
      </c>
      <c r="F34" s="11">
        <f>VLOOKUP(A34,'[1]CORREÇÃO DOS ITENS DIVERGENTES'!$A$13:$G$490,7)</f>
        <v>24.524741252644962</v>
      </c>
      <c r="G34" s="91">
        <f t="shared" si="0"/>
        <v>31.232257985243361</v>
      </c>
      <c r="H34" s="12">
        <f t="shared" ref="H34:H45" si="14">E34*G34</f>
        <v>9766.9517171453044</v>
      </c>
      <c r="I34" s="22">
        <v>312.72000000000003</v>
      </c>
      <c r="J34" s="11">
        <f t="shared" ref="J34:J45" si="15">F34</f>
        <v>24.524741252644962</v>
      </c>
      <c r="K34" s="10">
        <f t="shared" ref="K34:K45" si="16">J34*1.2735</f>
        <v>31.232257985243361</v>
      </c>
      <c r="L34" s="12">
        <f>I34*K34</f>
        <v>9766.9517171453044</v>
      </c>
      <c r="M34" s="11">
        <v>0</v>
      </c>
      <c r="N34" s="11">
        <f t="shared" ref="N34:N45" si="17">J34</f>
        <v>24.524741252644962</v>
      </c>
      <c r="O34" s="10">
        <f t="shared" ref="O34:O45" si="18">N34*1.2735</f>
        <v>31.232257985243361</v>
      </c>
      <c r="P34" s="12">
        <f t="shared" si="8"/>
        <v>0</v>
      </c>
      <c r="Q34" s="148"/>
      <c r="R34" s="74"/>
      <c r="S34" s="14">
        <f>F34-'[1]CORREÇÃO DOS ITENS DIVERGENTES'!$P30</f>
        <v>0</v>
      </c>
      <c r="T34" s="12">
        <f t="shared" ref="T34:T45" si="19">Q34*S34</f>
        <v>0</v>
      </c>
    </row>
    <row r="35" spans="1:20" hidden="1">
      <c r="A35" s="99">
        <v>4002000</v>
      </c>
      <c r="B35" s="100">
        <v>72820</v>
      </c>
      <c r="C35" s="100" t="s">
        <v>50</v>
      </c>
      <c r="D35" s="101" t="s">
        <v>19</v>
      </c>
      <c r="E35" s="11">
        <v>0</v>
      </c>
      <c r="F35" s="11">
        <f>VLOOKUP(A35,'[1]CORREÇÃO DOS ITENS DIVERGENTES'!$A$13:$G$490,7)</f>
        <v>15.637294332156625</v>
      </c>
      <c r="G35" s="91">
        <f t="shared" si="0"/>
        <v>19.914094332001461</v>
      </c>
      <c r="H35" s="12">
        <f t="shared" si="14"/>
        <v>0</v>
      </c>
      <c r="I35" s="23">
        <v>0</v>
      </c>
      <c r="J35" s="11">
        <f t="shared" si="15"/>
        <v>15.637294332156625</v>
      </c>
      <c r="K35" s="10">
        <f t="shared" si="16"/>
        <v>19.914094332001461</v>
      </c>
      <c r="L35" s="12">
        <f t="shared" ref="L35:L45" si="20">I35*K35</f>
        <v>0</v>
      </c>
      <c r="M35" s="11">
        <v>0</v>
      </c>
      <c r="N35" s="11">
        <f t="shared" si="17"/>
        <v>15.637294332156625</v>
      </c>
      <c r="O35" s="10">
        <f t="shared" si="18"/>
        <v>19.914094332001461</v>
      </c>
      <c r="P35" s="12">
        <f t="shared" si="8"/>
        <v>0</v>
      </c>
      <c r="Q35" s="148"/>
      <c r="R35" s="74"/>
      <c r="S35" s="14">
        <f>F35-'[1]CORREÇÃO DOS ITENS DIVERGENTES'!$P31</f>
        <v>0</v>
      </c>
      <c r="T35" s="12">
        <f t="shared" si="19"/>
        <v>0</v>
      </c>
    </row>
    <row r="36" spans="1:20" hidden="1">
      <c r="A36" s="88">
        <v>4003000</v>
      </c>
      <c r="B36" s="89" t="s">
        <v>51</v>
      </c>
      <c r="C36" s="89" t="s">
        <v>52</v>
      </c>
      <c r="D36" s="90" t="s">
        <v>53</v>
      </c>
      <c r="E36" s="91">
        <v>250.8</v>
      </c>
      <c r="F36" s="11">
        <f>VLOOKUP(A36,'[1]CORREÇÃO DOS ITENS DIVERGENTES'!$A$13:$G$490,7)</f>
        <v>6.4394076489765792</v>
      </c>
      <c r="G36" s="91">
        <f t="shared" si="0"/>
        <v>8.2005856409716742</v>
      </c>
      <c r="H36" s="12">
        <f t="shared" si="14"/>
        <v>2056.7068787556959</v>
      </c>
      <c r="I36" s="22">
        <f>250.8+106.03</f>
        <v>356.83000000000004</v>
      </c>
      <c r="J36" s="11">
        <f t="shared" si="15"/>
        <v>6.4394076489765792</v>
      </c>
      <c r="K36" s="10">
        <f t="shared" si="16"/>
        <v>8.2005856409716742</v>
      </c>
      <c r="L36" s="12">
        <f t="shared" si="20"/>
        <v>2926.214974267923</v>
      </c>
      <c r="M36" s="11">
        <v>106.03</v>
      </c>
      <c r="N36" s="11">
        <f t="shared" si="17"/>
        <v>6.4394076489765792</v>
      </c>
      <c r="O36" s="10">
        <f t="shared" si="18"/>
        <v>8.2005856409716742</v>
      </c>
      <c r="P36" s="12">
        <f t="shared" si="8"/>
        <v>869.50809551222665</v>
      </c>
      <c r="Q36" s="148"/>
      <c r="R36" s="74"/>
      <c r="S36" s="14">
        <f>F36-'[1]CORREÇÃO DOS ITENS DIVERGENTES'!$P32</f>
        <v>0</v>
      </c>
      <c r="T36" s="12">
        <f t="shared" si="19"/>
        <v>0</v>
      </c>
    </row>
    <row r="37" spans="1:20" hidden="1">
      <c r="A37" s="88">
        <v>4004000</v>
      </c>
      <c r="B37" s="89" t="s">
        <v>54</v>
      </c>
      <c r="C37" s="89" t="s">
        <v>55</v>
      </c>
      <c r="D37" s="90" t="s">
        <v>33</v>
      </c>
      <c r="E37" s="91">
        <v>43.88</v>
      </c>
      <c r="F37" s="11">
        <f>VLOOKUP(A37,'[1]CORREÇÃO DOS ITENS DIVERGENTES'!$A$13:$G$490,7)</f>
        <v>16.275913272550998</v>
      </c>
      <c r="G37" s="91">
        <f t="shared" si="0"/>
        <v>20.727375552593696</v>
      </c>
      <c r="H37" s="12">
        <f t="shared" si="14"/>
        <v>909.5172392478114</v>
      </c>
      <c r="I37" s="22">
        <v>43.88</v>
      </c>
      <c r="J37" s="11">
        <f t="shared" si="15"/>
        <v>16.275913272550998</v>
      </c>
      <c r="K37" s="10">
        <f t="shared" si="16"/>
        <v>20.727375552593696</v>
      </c>
      <c r="L37" s="12">
        <f t="shared" si="20"/>
        <v>909.5172392478114</v>
      </c>
      <c r="M37" s="11">
        <v>0</v>
      </c>
      <c r="N37" s="11">
        <f t="shared" si="17"/>
        <v>16.275913272550998</v>
      </c>
      <c r="O37" s="10">
        <f t="shared" si="18"/>
        <v>20.727375552593696</v>
      </c>
      <c r="P37" s="12">
        <f t="shared" si="8"/>
        <v>0</v>
      </c>
      <c r="Q37" s="148"/>
      <c r="R37" s="74"/>
      <c r="S37" s="14">
        <f>F37-'[1]CORREÇÃO DOS ITENS DIVERGENTES'!$P33</f>
        <v>0</v>
      </c>
      <c r="T37" s="12">
        <f t="shared" si="19"/>
        <v>0</v>
      </c>
    </row>
    <row r="38" spans="1:20" ht="22.5" hidden="1">
      <c r="A38" s="88">
        <v>4005000</v>
      </c>
      <c r="B38" s="89" t="s">
        <v>56</v>
      </c>
      <c r="C38" s="89" t="s">
        <v>57</v>
      </c>
      <c r="D38" s="90" t="s">
        <v>33</v>
      </c>
      <c r="E38" s="11">
        <v>65.77</v>
      </c>
      <c r="F38" s="11">
        <f>VLOOKUP(A38,'[1]CORREÇÃO DOS ITENS DIVERGENTES'!$A$13:$G$490,7)</f>
        <v>18.981174061721596</v>
      </c>
      <c r="G38" s="91">
        <f t="shared" si="0"/>
        <v>24.172525167602455</v>
      </c>
      <c r="H38" s="12">
        <f t="shared" si="14"/>
        <v>1589.8269802732134</v>
      </c>
      <c r="I38" s="23">
        <v>65.77</v>
      </c>
      <c r="J38" s="11">
        <f t="shared" si="15"/>
        <v>18.981174061721596</v>
      </c>
      <c r="K38" s="10">
        <f t="shared" si="16"/>
        <v>24.172525167602455</v>
      </c>
      <c r="L38" s="12">
        <f t="shared" si="20"/>
        <v>1589.8269802732134</v>
      </c>
      <c r="M38" s="11">
        <v>0</v>
      </c>
      <c r="N38" s="11">
        <f t="shared" si="17"/>
        <v>18.981174061721596</v>
      </c>
      <c r="O38" s="10">
        <f t="shared" si="18"/>
        <v>24.172525167602455</v>
      </c>
      <c r="P38" s="12">
        <f t="shared" si="8"/>
        <v>0</v>
      </c>
      <c r="Q38" s="148"/>
      <c r="R38" s="74"/>
      <c r="S38" s="14">
        <f>F38-'[1]CORREÇÃO DOS ITENS DIVERGENTES'!$P34</f>
        <v>0</v>
      </c>
      <c r="T38" s="12">
        <f t="shared" si="19"/>
        <v>0</v>
      </c>
    </row>
    <row r="39" spans="1:20" ht="22.5" hidden="1">
      <c r="A39" s="88">
        <v>4006000</v>
      </c>
      <c r="B39" s="89" t="s">
        <v>58</v>
      </c>
      <c r="C39" s="89" t="s">
        <v>59</v>
      </c>
      <c r="D39" s="90" t="s">
        <v>33</v>
      </c>
      <c r="E39" s="11">
        <v>16.510000000000002</v>
      </c>
      <c r="F39" s="11">
        <f>VLOOKUP(A39,'[1]CORREÇÃO DOS ITENS DIVERGENTES'!$A$13:$G$490,7)</f>
        <v>265.18651499876279</v>
      </c>
      <c r="G39" s="91">
        <f t="shared" si="0"/>
        <v>337.71502685092446</v>
      </c>
      <c r="H39" s="12">
        <f t="shared" si="14"/>
        <v>5575.6750933087633</v>
      </c>
      <c r="I39" s="23">
        <f>16.51+M39</f>
        <v>19.05</v>
      </c>
      <c r="J39" s="11">
        <f t="shared" si="15"/>
        <v>265.18651499876279</v>
      </c>
      <c r="K39" s="10">
        <f t="shared" si="16"/>
        <v>337.71502685092446</v>
      </c>
      <c r="L39" s="12">
        <f t="shared" si="20"/>
        <v>6433.4712615101116</v>
      </c>
      <c r="M39" s="11">
        <f>19.05-16.51</f>
        <v>2.5399999999999991</v>
      </c>
      <c r="N39" s="11">
        <f t="shared" si="17"/>
        <v>265.18651499876279</v>
      </c>
      <c r="O39" s="10">
        <f t="shared" si="18"/>
        <v>337.71502685092446</v>
      </c>
      <c r="P39" s="12">
        <f t="shared" si="8"/>
        <v>857.79616820134788</v>
      </c>
      <c r="Q39" s="148"/>
      <c r="R39" s="74"/>
      <c r="S39" s="14">
        <f>F39-'[1]CORREÇÃO DOS ITENS DIVERGENTES'!$P35</f>
        <v>0</v>
      </c>
      <c r="T39" s="12">
        <f t="shared" si="19"/>
        <v>0</v>
      </c>
    </row>
    <row r="40" spans="1:20" hidden="1">
      <c r="A40" s="92">
        <v>4007000</v>
      </c>
      <c r="B40" s="89" t="s">
        <v>60</v>
      </c>
      <c r="C40" s="89" t="s">
        <v>61</v>
      </c>
      <c r="D40" s="90" t="s">
        <v>22</v>
      </c>
      <c r="E40" s="11">
        <v>99.03</v>
      </c>
      <c r="F40" s="11">
        <f>VLOOKUP(A40,'[1]CORREÇÃO DOS ITENS DIVERGENTES'!$A$13:$G$490,7)</f>
        <v>1.7828112086009535</v>
      </c>
      <c r="G40" s="91">
        <f t="shared" si="0"/>
        <v>2.2704100741533146</v>
      </c>
      <c r="H40" s="12">
        <f t="shared" si="14"/>
        <v>224.83870964340275</v>
      </c>
      <c r="I40" s="23">
        <v>99.03</v>
      </c>
      <c r="J40" s="11">
        <f t="shared" si="15"/>
        <v>1.7828112086009535</v>
      </c>
      <c r="K40" s="10">
        <f t="shared" si="16"/>
        <v>2.2704100741533146</v>
      </c>
      <c r="L40" s="12">
        <f t="shared" si="20"/>
        <v>224.83870964340275</v>
      </c>
      <c r="M40" s="11">
        <v>30.96</v>
      </c>
      <c r="N40" s="11">
        <f t="shared" si="17"/>
        <v>1.7828112086009535</v>
      </c>
      <c r="O40" s="10">
        <f t="shared" si="18"/>
        <v>2.2704100741533146</v>
      </c>
      <c r="P40" s="12">
        <f t="shared" si="8"/>
        <v>70.291895895786624</v>
      </c>
      <c r="Q40" s="148"/>
      <c r="R40" s="74"/>
      <c r="S40" s="14">
        <f>F40-'[1]CORREÇÃO DOS ITENS DIVERGENTES'!$P36</f>
        <v>0</v>
      </c>
      <c r="T40" s="12">
        <f t="shared" si="19"/>
        <v>0</v>
      </c>
    </row>
    <row r="41" spans="1:20" hidden="1">
      <c r="A41" s="88">
        <v>4008000</v>
      </c>
      <c r="B41" s="89" t="s">
        <v>62</v>
      </c>
      <c r="C41" s="89" t="s">
        <v>63</v>
      </c>
      <c r="D41" s="90" t="s">
        <v>33</v>
      </c>
      <c r="E41" s="11">
        <v>4.95</v>
      </c>
      <c r="F41" s="11">
        <f>VLOOKUP(A41,'[1]CORREÇÃO DOS ITENS DIVERGENTES'!$A$13:$G$490,7)</f>
        <v>223.17958025282189</v>
      </c>
      <c r="G41" s="91">
        <f t="shared" si="0"/>
        <v>284.21919545196869</v>
      </c>
      <c r="H41" s="12">
        <f t="shared" si="14"/>
        <v>1406.885017487245</v>
      </c>
      <c r="I41" s="23">
        <f>4.95+M41</f>
        <v>6.5</v>
      </c>
      <c r="J41" s="11">
        <f t="shared" si="15"/>
        <v>223.17958025282189</v>
      </c>
      <c r="K41" s="10">
        <f t="shared" si="16"/>
        <v>284.21919545196869</v>
      </c>
      <c r="L41" s="12">
        <f t="shared" si="20"/>
        <v>1847.4247704377965</v>
      </c>
      <c r="M41" s="11">
        <f>6.5-E41</f>
        <v>1.5499999999999998</v>
      </c>
      <c r="N41" s="11">
        <f t="shared" si="17"/>
        <v>223.17958025282189</v>
      </c>
      <c r="O41" s="10">
        <f t="shared" si="18"/>
        <v>284.21919545196869</v>
      </c>
      <c r="P41" s="12">
        <f t="shared" si="8"/>
        <v>440.53975295055142</v>
      </c>
      <c r="Q41" s="148"/>
      <c r="R41" s="74"/>
      <c r="S41" s="14">
        <f>F41-'[1]CORREÇÃO DOS ITENS DIVERGENTES'!$P37</f>
        <v>0</v>
      </c>
      <c r="T41" s="12">
        <f t="shared" si="19"/>
        <v>0</v>
      </c>
    </row>
    <row r="42" spans="1:20" ht="22.5" hidden="1">
      <c r="A42" s="88">
        <v>4009000</v>
      </c>
      <c r="B42" s="89" t="s">
        <v>64</v>
      </c>
      <c r="C42" s="100" t="s">
        <v>65</v>
      </c>
      <c r="D42" s="90" t="s">
        <v>66</v>
      </c>
      <c r="E42" s="11">
        <v>0</v>
      </c>
      <c r="F42" s="11">
        <f>VLOOKUP(A42,'[1]CORREÇÃO DOS ITENS DIVERGENTES'!$A$13:$G$490,7)</f>
        <v>25.6866729358625</v>
      </c>
      <c r="G42" s="91">
        <f t="shared" si="0"/>
        <v>32.711977983820894</v>
      </c>
      <c r="H42" s="12">
        <f t="shared" si="14"/>
        <v>0</v>
      </c>
      <c r="I42" s="19">
        <v>0</v>
      </c>
      <c r="J42" s="11">
        <f t="shared" si="15"/>
        <v>25.6866729358625</v>
      </c>
      <c r="K42" s="10">
        <f t="shared" si="16"/>
        <v>32.711977983820894</v>
      </c>
      <c r="L42" s="12">
        <f t="shared" si="20"/>
        <v>0</v>
      </c>
      <c r="M42" s="11">
        <v>0</v>
      </c>
      <c r="N42" s="11">
        <f t="shared" si="17"/>
        <v>25.6866729358625</v>
      </c>
      <c r="O42" s="10">
        <f t="shared" si="18"/>
        <v>32.711977983820894</v>
      </c>
      <c r="P42" s="12">
        <f t="shared" si="8"/>
        <v>0</v>
      </c>
      <c r="Q42" s="148"/>
      <c r="R42" s="74"/>
      <c r="S42" s="14">
        <f>F42-'[1]CORREÇÃO DOS ITENS DIVERGENTES'!$P38</f>
        <v>0</v>
      </c>
      <c r="T42" s="12">
        <f t="shared" si="19"/>
        <v>0</v>
      </c>
    </row>
    <row r="43" spans="1:20" hidden="1">
      <c r="A43" s="88">
        <v>4010000</v>
      </c>
      <c r="B43" s="89" t="s">
        <v>67</v>
      </c>
      <c r="C43" s="89" t="s">
        <v>68</v>
      </c>
      <c r="D43" s="90" t="s">
        <v>33</v>
      </c>
      <c r="E43" s="11">
        <v>16.510000000000002</v>
      </c>
      <c r="F43" s="11">
        <f>VLOOKUP(A43,'[1]CORREÇÃO DOS ITENS DIVERGENTES'!$A$13:$G$490,7)</f>
        <v>43.905052152113043</v>
      </c>
      <c r="G43" s="91">
        <f t="shared" si="0"/>
        <v>55.913083915715966</v>
      </c>
      <c r="H43" s="12">
        <f t="shared" si="14"/>
        <v>923.12501544847066</v>
      </c>
      <c r="I43" s="23">
        <f>16.51+M43</f>
        <v>19.05</v>
      </c>
      <c r="J43" s="11">
        <f t="shared" si="15"/>
        <v>43.905052152113043</v>
      </c>
      <c r="K43" s="10">
        <f t="shared" si="16"/>
        <v>55.913083915715966</v>
      </c>
      <c r="L43" s="12">
        <f t="shared" si="20"/>
        <v>1065.1442485943892</v>
      </c>
      <c r="M43" s="11">
        <f>19.05-16.51</f>
        <v>2.5399999999999991</v>
      </c>
      <c r="N43" s="11">
        <f t="shared" si="17"/>
        <v>43.905052152113043</v>
      </c>
      <c r="O43" s="10">
        <f t="shared" si="18"/>
        <v>55.913083915715966</v>
      </c>
      <c r="P43" s="12">
        <f t="shared" si="8"/>
        <v>142.01923314591849</v>
      </c>
      <c r="Q43" s="148"/>
      <c r="R43" s="74"/>
      <c r="S43" s="14">
        <f>F43-'[1]CORREÇÃO DOS ITENS DIVERGENTES'!$P39</f>
        <v>0</v>
      </c>
      <c r="T43" s="12">
        <f t="shared" si="19"/>
        <v>0</v>
      </c>
    </row>
    <row r="44" spans="1:20" hidden="1">
      <c r="A44" s="88">
        <v>4011000</v>
      </c>
      <c r="B44" s="89" t="s">
        <v>69</v>
      </c>
      <c r="C44" s="89" t="s">
        <v>70</v>
      </c>
      <c r="D44" s="90" t="s">
        <v>33</v>
      </c>
      <c r="E44" s="91">
        <v>21.89</v>
      </c>
      <c r="F44" s="11">
        <f>VLOOKUP(A44,'[1]CORREÇÃO DOS ITENS DIVERGENTES'!$A$13:$G$490,7)</f>
        <v>9.1180593156307488</v>
      </c>
      <c r="G44" s="91">
        <f t="shared" si="0"/>
        <v>11.61184853845576</v>
      </c>
      <c r="H44" s="12">
        <f t="shared" si="14"/>
        <v>254.18336450679661</v>
      </c>
      <c r="I44" s="22">
        <v>21.89</v>
      </c>
      <c r="J44" s="11">
        <f t="shared" si="15"/>
        <v>9.1180593156307488</v>
      </c>
      <c r="K44" s="10">
        <f t="shared" si="16"/>
        <v>11.61184853845576</v>
      </c>
      <c r="L44" s="12">
        <f t="shared" si="20"/>
        <v>254.18336450679661</v>
      </c>
      <c r="M44" s="11">
        <v>0</v>
      </c>
      <c r="N44" s="11">
        <f t="shared" si="17"/>
        <v>9.1180593156307488</v>
      </c>
      <c r="O44" s="10">
        <f t="shared" si="18"/>
        <v>11.61184853845576</v>
      </c>
      <c r="P44" s="12">
        <f t="shared" si="8"/>
        <v>0</v>
      </c>
      <c r="Q44" s="148"/>
      <c r="R44" s="74"/>
      <c r="S44" s="14">
        <f>F44-'[1]CORREÇÃO DOS ITENS DIVERGENTES'!$P40</f>
        <v>0</v>
      </c>
      <c r="T44" s="12">
        <f t="shared" si="19"/>
        <v>0</v>
      </c>
    </row>
    <row r="45" spans="1:20" ht="22.5" hidden="1">
      <c r="A45" s="88">
        <v>4012000</v>
      </c>
      <c r="B45" s="89" t="s">
        <v>71</v>
      </c>
      <c r="C45" s="89" t="s">
        <v>72</v>
      </c>
      <c r="D45" s="90" t="s">
        <v>53</v>
      </c>
      <c r="E45" s="11">
        <v>1170.3</v>
      </c>
      <c r="F45" s="11">
        <f>VLOOKUP(A45,'[1]CORREÇÃO DOS ITENS DIVERGENTES'!$A$13:$G$490,7)</f>
        <v>5.9160949061534138</v>
      </c>
      <c r="G45" s="91">
        <f t="shared" si="0"/>
        <v>7.5341468629863728</v>
      </c>
      <c r="H45" s="12">
        <f t="shared" si="14"/>
        <v>8817.2120737529513</v>
      </c>
      <c r="I45" s="23">
        <f>1170.3+M45</f>
        <v>1390.45</v>
      </c>
      <c r="J45" s="11">
        <f t="shared" si="15"/>
        <v>5.9160949061534138</v>
      </c>
      <c r="K45" s="10">
        <f t="shared" si="16"/>
        <v>7.5341468629863728</v>
      </c>
      <c r="L45" s="12">
        <f t="shared" si="20"/>
        <v>10475.854505639403</v>
      </c>
      <c r="M45" s="11">
        <f>1390.45-1170.3</f>
        <v>220.15000000000009</v>
      </c>
      <c r="N45" s="11">
        <f t="shared" si="17"/>
        <v>5.9160949061534138</v>
      </c>
      <c r="O45" s="10">
        <f t="shared" si="18"/>
        <v>7.5341468629863728</v>
      </c>
      <c r="P45" s="12">
        <f t="shared" si="8"/>
        <v>1658.6424318864506</v>
      </c>
      <c r="Q45" s="148"/>
      <c r="R45" s="74"/>
      <c r="S45" s="14">
        <f>F45-'[1]CORREÇÃO DOS ITENS DIVERGENTES'!$P41</f>
        <v>0</v>
      </c>
      <c r="T45" s="12">
        <f t="shared" si="19"/>
        <v>0</v>
      </c>
    </row>
    <row r="46" spans="1:20" s="8" customFormat="1" hidden="1">
      <c r="A46" s="102">
        <v>4100000</v>
      </c>
      <c r="B46" s="103" t="s">
        <v>73</v>
      </c>
      <c r="C46" s="104" t="s">
        <v>74</v>
      </c>
      <c r="D46" s="105"/>
      <c r="E46" s="106"/>
      <c r="F46" s="107"/>
      <c r="G46" s="107"/>
      <c r="H46" s="87">
        <f>SUM(H47:H58)</f>
        <v>68533.400000000009</v>
      </c>
      <c r="I46" s="76"/>
      <c r="J46" s="24"/>
      <c r="K46" s="25"/>
      <c r="L46" s="26">
        <f>SUM(L47:L58)</f>
        <v>68533.400000000009</v>
      </c>
      <c r="M46" s="24"/>
      <c r="N46" s="24"/>
      <c r="O46" s="25"/>
      <c r="P46" s="17">
        <f>SUM(P47:P58)</f>
        <v>-1876.4354152221217</v>
      </c>
      <c r="Q46" s="160">
        <f t="shared" si="9"/>
        <v>66656.964584777888</v>
      </c>
      <c r="R46" s="159"/>
      <c r="S46" s="159"/>
      <c r="T46" s="87">
        <f>SUM(T47:T58)</f>
        <v>0</v>
      </c>
    </row>
    <row r="47" spans="1:20" ht="22.5" hidden="1">
      <c r="A47" s="88">
        <v>4100001</v>
      </c>
      <c r="B47" s="89" t="s">
        <v>75</v>
      </c>
      <c r="C47" s="100" t="s">
        <v>76</v>
      </c>
      <c r="D47" s="101" t="s">
        <v>19</v>
      </c>
      <c r="E47" s="11">
        <v>1</v>
      </c>
      <c r="F47" s="11">
        <f>VLOOKUP(A47,'[1]CORREÇÃO DOS ITENS DIVERGENTES'!$A$13:$G$490,7)</f>
        <v>1862.6385761502502</v>
      </c>
      <c r="G47" s="91">
        <f t="shared" si="0"/>
        <v>2372.0702267273437</v>
      </c>
      <c r="H47" s="12">
        <f t="shared" ref="H47:H58" si="21">E47*G47</f>
        <v>2372.0702267273437</v>
      </c>
      <c r="I47" s="19">
        <v>1</v>
      </c>
      <c r="J47" s="11">
        <f t="shared" ref="J47:J58" si="22">F47</f>
        <v>1862.6385761502502</v>
      </c>
      <c r="K47" s="10">
        <f t="shared" ref="K47:K58" si="23">J47*1.2735</f>
        <v>2372.0702267273437</v>
      </c>
      <c r="L47" s="12">
        <f>I47*K47</f>
        <v>2372.0702267273437</v>
      </c>
      <c r="M47" s="11">
        <v>0</v>
      </c>
      <c r="N47" s="11">
        <f t="shared" ref="N47:N58" si="24">J47</f>
        <v>1862.6385761502502</v>
      </c>
      <c r="O47" s="10">
        <f t="shared" ref="O47:O58" si="25">N47*1.2735</f>
        <v>2372.0702267273437</v>
      </c>
      <c r="P47" s="12">
        <f t="shared" si="8"/>
        <v>0</v>
      </c>
      <c r="Q47" s="148"/>
      <c r="R47" s="74"/>
      <c r="S47" s="14">
        <f>F47-'[1]CORREÇÃO DOS ITENS DIVERGENTES'!$P43</f>
        <v>0</v>
      </c>
      <c r="T47" s="12">
        <f t="shared" ref="T47:T58" si="26">Q47*S47</f>
        <v>0</v>
      </c>
    </row>
    <row r="48" spans="1:20" ht="22.5" hidden="1">
      <c r="A48" s="88">
        <v>4100002</v>
      </c>
      <c r="B48" s="89" t="s">
        <v>77</v>
      </c>
      <c r="C48" s="89" t="s">
        <v>78</v>
      </c>
      <c r="D48" s="101" t="s">
        <v>66</v>
      </c>
      <c r="E48" s="11">
        <v>990</v>
      </c>
      <c r="F48" s="11">
        <f>VLOOKUP(A48,'[1]CORREÇÃO DOS ITENS DIVERGENTES'!$A$13:$G$490,7)</f>
        <v>30.938803458183632</v>
      </c>
      <c r="G48" s="91">
        <f t="shared" si="0"/>
        <v>39.40056620399686</v>
      </c>
      <c r="H48" s="12">
        <f t="shared" si="21"/>
        <v>39006.560541956889</v>
      </c>
      <c r="I48" s="19">
        <v>990</v>
      </c>
      <c r="J48" s="11">
        <f t="shared" si="22"/>
        <v>30.938803458183632</v>
      </c>
      <c r="K48" s="10">
        <f t="shared" si="23"/>
        <v>39.40056620399686</v>
      </c>
      <c r="L48" s="12">
        <f t="shared" ref="L48:L58" si="27">I48*K48</f>
        <v>39006.560541956889</v>
      </c>
      <c r="M48" s="11">
        <v>0</v>
      </c>
      <c r="N48" s="11">
        <f t="shared" si="24"/>
        <v>30.938803458183632</v>
      </c>
      <c r="O48" s="10">
        <f t="shared" si="25"/>
        <v>39.40056620399686</v>
      </c>
      <c r="P48" s="12">
        <f t="shared" si="8"/>
        <v>0</v>
      </c>
      <c r="Q48" s="148"/>
      <c r="R48" s="74"/>
      <c r="S48" s="14">
        <f>F48-'[1]CORREÇÃO DOS ITENS DIVERGENTES'!$P44</f>
        <v>0</v>
      </c>
      <c r="T48" s="12">
        <f t="shared" si="26"/>
        <v>0</v>
      </c>
    </row>
    <row r="49" spans="1:20" hidden="1">
      <c r="A49" s="92">
        <v>4100003</v>
      </c>
      <c r="B49" s="100">
        <v>72820</v>
      </c>
      <c r="C49" s="100" t="s">
        <v>50</v>
      </c>
      <c r="D49" s="101" t="s">
        <v>19</v>
      </c>
      <c r="E49" s="11">
        <v>71</v>
      </c>
      <c r="F49" s="11">
        <f>VLOOKUP(A49,'[1]CORREÇÃO DOS ITENS DIVERGENTES'!$A$13:$G$490,7)</f>
        <v>15.637294332156625</v>
      </c>
      <c r="G49" s="91">
        <f t="shared" si="0"/>
        <v>19.914094332001461</v>
      </c>
      <c r="H49" s="12">
        <f t="shared" si="21"/>
        <v>1413.9006975721038</v>
      </c>
      <c r="I49" s="23">
        <v>71</v>
      </c>
      <c r="J49" s="11">
        <f t="shared" si="22"/>
        <v>15.637294332156625</v>
      </c>
      <c r="K49" s="10">
        <f t="shared" si="23"/>
        <v>19.914094332001461</v>
      </c>
      <c r="L49" s="12">
        <f t="shared" si="27"/>
        <v>1413.9006975721038</v>
      </c>
      <c r="M49" s="11">
        <v>23</v>
      </c>
      <c r="N49" s="11">
        <f t="shared" si="24"/>
        <v>15.637294332156625</v>
      </c>
      <c r="O49" s="10">
        <f t="shared" si="25"/>
        <v>19.914094332001461</v>
      </c>
      <c r="P49" s="12">
        <f t="shared" si="8"/>
        <v>458.02416963603361</v>
      </c>
      <c r="Q49" s="148"/>
      <c r="R49" s="74"/>
      <c r="S49" s="14">
        <f>F49-'[1]CORREÇÃO DOS ITENS DIVERGENTES'!$P45</f>
        <v>0</v>
      </c>
      <c r="T49" s="12">
        <f t="shared" si="26"/>
        <v>0</v>
      </c>
    </row>
    <row r="50" spans="1:20" ht="22.5" hidden="1">
      <c r="A50" s="88">
        <v>4100004</v>
      </c>
      <c r="B50" s="100" t="s">
        <v>56</v>
      </c>
      <c r="C50" s="100" t="s">
        <v>79</v>
      </c>
      <c r="D50" s="101" t="s">
        <v>33</v>
      </c>
      <c r="E50" s="11">
        <v>20.21</v>
      </c>
      <c r="F50" s="11">
        <f>VLOOKUP(A50,'[1]CORREÇÃO DOS ITENS DIVERGENTES'!$A$13:$G$490,7)</f>
        <v>18.981174061721596</v>
      </c>
      <c r="G50" s="91">
        <f t="shared" si="0"/>
        <v>24.172525167602455</v>
      </c>
      <c r="H50" s="12">
        <f t="shared" si="21"/>
        <v>488.52673363724563</v>
      </c>
      <c r="I50" s="23">
        <v>20.21</v>
      </c>
      <c r="J50" s="11">
        <f t="shared" si="22"/>
        <v>18.981174061721596</v>
      </c>
      <c r="K50" s="10">
        <f t="shared" si="23"/>
        <v>24.172525167602455</v>
      </c>
      <c r="L50" s="12">
        <f t="shared" si="27"/>
        <v>488.52673363724563</v>
      </c>
      <c r="M50" s="11">
        <v>0</v>
      </c>
      <c r="N50" s="11">
        <f t="shared" si="24"/>
        <v>18.981174061721596</v>
      </c>
      <c r="O50" s="10">
        <f t="shared" si="25"/>
        <v>24.172525167602455</v>
      </c>
      <c r="P50" s="12">
        <f t="shared" si="8"/>
        <v>0</v>
      </c>
      <c r="Q50" s="148"/>
      <c r="R50" s="74"/>
      <c r="S50" s="14">
        <f>F50-'[1]CORREÇÃO DOS ITENS DIVERGENTES'!$P46</f>
        <v>0</v>
      </c>
      <c r="T50" s="12">
        <f t="shared" si="26"/>
        <v>0</v>
      </c>
    </row>
    <row r="51" spans="1:20" ht="22.5" hidden="1">
      <c r="A51" s="88">
        <v>4100005</v>
      </c>
      <c r="B51" s="89" t="s">
        <v>71</v>
      </c>
      <c r="C51" s="89" t="s">
        <v>72</v>
      </c>
      <c r="D51" s="101" t="s">
        <v>53</v>
      </c>
      <c r="E51" s="11">
        <v>1657.85</v>
      </c>
      <c r="F51" s="11">
        <f>VLOOKUP(A51,'[1]CORREÇÃO DOS ITENS DIVERGENTES'!$A$13:$G$490,7)</f>
        <v>5.9160949061534138</v>
      </c>
      <c r="G51" s="91">
        <f t="shared" si="0"/>
        <v>7.5341468629863728</v>
      </c>
      <c r="H51" s="12">
        <f t="shared" si="21"/>
        <v>12490.485376801957</v>
      </c>
      <c r="I51" s="23">
        <v>1657.85</v>
      </c>
      <c r="J51" s="11">
        <f t="shared" si="22"/>
        <v>5.9160949061534138</v>
      </c>
      <c r="K51" s="10">
        <f t="shared" si="23"/>
        <v>7.5341468629863728</v>
      </c>
      <c r="L51" s="12">
        <f t="shared" si="27"/>
        <v>12490.485376801957</v>
      </c>
      <c r="M51" s="11">
        <v>0</v>
      </c>
      <c r="N51" s="11">
        <f t="shared" si="24"/>
        <v>5.9160949061534138</v>
      </c>
      <c r="O51" s="10">
        <f t="shared" si="25"/>
        <v>7.5341468629863728</v>
      </c>
      <c r="P51" s="12">
        <f t="shared" si="8"/>
        <v>0</v>
      </c>
      <c r="Q51" s="148"/>
      <c r="R51" s="74"/>
      <c r="S51" s="14">
        <f>F51-'[1]CORREÇÃO DOS ITENS DIVERGENTES'!$P47</f>
        <v>0</v>
      </c>
      <c r="T51" s="12">
        <f t="shared" si="26"/>
        <v>0</v>
      </c>
    </row>
    <row r="52" spans="1:20" hidden="1">
      <c r="A52" s="88">
        <v>4100006</v>
      </c>
      <c r="B52" s="89" t="s">
        <v>60</v>
      </c>
      <c r="C52" s="89" t="s">
        <v>61</v>
      </c>
      <c r="D52" s="101" t="s">
        <v>22</v>
      </c>
      <c r="E52" s="11">
        <v>37.659999999999997</v>
      </c>
      <c r="F52" s="11">
        <f>VLOOKUP(A52,'[1]CORREÇÃO DOS ITENS DIVERGENTES'!$A$13:$G$490,7)</f>
        <v>1.7828112086009535</v>
      </c>
      <c r="G52" s="91">
        <f t="shared" si="0"/>
        <v>2.2704100741533146</v>
      </c>
      <c r="H52" s="12">
        <f t="shared" si="21"/>
        <v>85.503643392613824</v>
      </c>
      <c r="I52" s="23">
        <v>37.659999999999997</v>
      </c>
      <c r="J52" s="11">
        <f t="shared" si="22"/>
        <v>1.7828112086009535</v>
      </c>
      <c r="K52" s="10">
        <f t="shared" si="23"/>
        <v>2.2704100741533146</v>
      </c>
      <c r="L52" s="12">
        <f t="shared" si="27"/>
        <v>85.503643392613824</v>
      </c>
      <c r="M52" s="11">
        <v>0</v>
      </c>
      <c r="N52" s="11">
        <f t="shared" si="24"/>
        <v>1.7828112086009535</v>
      </c>
      <c r="O52" s="10">
        <f t="shared" si="25"/>
        <v>2.2704100741533146</v>
      </c>
      <c r="P52" s="12">
        <f t="shared" si="8"/>
        <v>0</v>
      </c>
      <c r="Q52" s="148"/>
      <c r="R52" s="74"/>
      <c r="S52" s="14">
        <f>F52-'[1]CORREÇÃO DOS ITENS DIVERGENTES'!$P48</f>
        <v>0</v>
      </c>
      <c r="T52" s="12">
        <f t="shared" si="26"/>
        <v>0</v>
      </c>
    </row>
    <row r="53" spans="1:20" hidden="1">
      <c r="A53" s="92">
        <v>4100007</v>
      </c>
      <c r="B53" s="89" t="s">
        <v>62</v>
      </c>
      <c r="C53" s="89" t="s">
        <v>63</v>
      </c>
      <c r="D53" s="101" t="s">
        <v>33</v>
      </c>
      <c r="E53" s="11">
        <v>0.74</v>
      </c>
      <c r="F53" s="11">
        <f>VLOOKUP(A53,'[1]CORREÇÃO DOS ITENS DIVERGENTES'!$A$13:$G$490,7)</f>
        <v>223.17958025282189</v>
      </c>
      <c r="G53" s="91">
        <f t="shared" si="0"/>
        <v>284.21919545196869</v>
      </c>
      <c r="H53" s="12">
        <f t="shared" si="21"/>
        <v>210.32220463445682</v>
      </c>
      <c r="I53" s="23">
        <v>0.74</v>
      </c>
      <c r="J53" s="11">
        <f t="shared" si="22"/>
        <v>223.17958025282189</v>
      </c>
      <c r="K53" s="10">
        <f t="shared" si="23"/>
        <v>284.21919545196869</v>
      </c>
      <c r="L53" s="12">
        <f t="shared" si="27"/>
        <v>210.32220463445682</v>
      </c>
      <c r="M53" s="11">
        <v>0.39</v>
      </c>
      <c r="N53" s="11">
        <f t="shared" si="24"/>
        <v>223.17958025282189</v>
      </c>
      <c r="O53" s="10">
        <f t="shared" si="25"/>
        <v>284.21919545196869</v>
      </c>
      <c r="P53" s="12">
        <f t="shared" si="8"/>
        <v>110.84548622626779</v>
      </c>
      <c r="Q53" s="148"/>
      <c r="R53" s="74"/>
      <c r="S53" s="14">
        <f>F53-'[1]CORREÇÃO DOS ITENS DIVERGENTES'!$P49</f>
        <v>0</v>
      </c>
      <c r="T53" s="12">
        <f t="shared" si="26"/>
        <v>0</v>
      </c>
    </row>
    <row r="54" spans="1:20" hidden="1">
      <c r="A54" s="92">
        <v>4100008</v>
      </c>
      <c r="B54" s="89">
        <v>5651</v>
      </c>
      <c r="C54" s="89" t="s">
        <v>49</v>
      </c>
      <c r="D54" s="101" t="s">
        <v>22</v>
      </c>
      <c r="E54" s="11">
        <v>59.36</v>
      </c>
      <c r="F54" s="11">
        <f>VLOOKUP(A54,'[1]CORREÇÃO DOS ITENS DIVERGENTES'!$A$13:$G$490,7)</f>
        <v>24.524741252644962</v>
      </c>
      <c r="G54" s="91">
        <f t="shared" si="0"/>
        <v>31.232257985243361</v>
      </c>
      <c r="H54" s="12">
        <f t="shared" si="21"/>
        <v>1853.946834004046</v>
      </c>
      <c r="I54" s="23">
        <v>59.36</v>
      </c>
      <c r="J54" s="11">
        <f t="shared" si="22"/>
        <v>24.524741252644962</v>
      </c>
      <c r="K54" s="10">
        <f t="shared" si="23"/>
        <v>31.232257985243361</v>
      </c>
      <c r="L54" s="12">
        <f t="shared" si="27"/>
        <v>1853.946834004046</v>
      </c>
      <c r="M54" s="11">
        <v>16.100000000000001</v>
      </c>
      <c r="N54" s="11">
        <f t="shared" si="24"/>
        <v>24.524741252644962</v>
      </c>
      <c r="O54" s="10">
        <f t="shared" si="25"/>
        <v>31.232257985243361</v>
      </c>
      <c r="P54" s="12">
        <f t="shared" si="8"/>
        <v>502.83935356241818</v>
      </c>
      <c r="Q54" s="148"/>
      <c r="R54" s="74"/>
      <c r="S54" s="14">
        <f>F54-'[1]CORREÇÃO DOS ITENS DIVERGENTES'!$P50</f>
        <v>0</v>
      </c>
      <c r="T54" s="12">
        <f t="shared" si="26"/>
        <v>0</v>
      </c>
    </row>
    <row r="55" spans="1:20" ht="22.5" hidden="1">
      <c r="A55" s="88">
        <v>4100009</v>
      </c>
      <c r="B55" s="89" t="s">
        <v>58</v>
      </c>
      <c r="C55" s="89" t="s">
        <v>59</v>
      </c>
      <c r="D55" s="101" t="s">
        <v>33</v>
      </c>
      <c r="E55" s="11">
        <v>19.47</v>
      </c>
      <c r="F55" s="11">
        <f>VLOOKUP(A55,'[1]CORREÇÃO DOS ITENS DIVERGENTES'!$A$13:$G$490,7)</f>
        <v>265.18651499876279</v>
      </c>
      <c r="G55" s="91">
        <f t="shared" si="0"/>
        <v>337.71502685092446</v>
      </c>
      <c r="H55" s="12">
        <f t="shared" si="21"/>
        <v>6575.3115727874992</v>
      </c>
      <c r="I55" s="23">
        <v>19.47</v>
      </c>
      <c r="J55" s="11">
        <f t="shared" si="22"/>
        <v>265.18651499876279</v>
      </c>
      <c r="K55" s="10">
        <f t="shared" si="23"/>
        <v>337.71502685092446</v>
      </c>
      <c r="L55" s="12">
        <f t="shared" si="27"/>
        <v>6575.3115727874992</v>
      </c>
      <c r="M55" s="11">
        <v>0</v>
      </c>
      <c r="N55" s="11">
        <f t="shared" si="24"/>
        <v>265.18651499876279</v>
      </c>
      <c r="O55" s="10">
        <f t="shared" si="25"/>
        <v>337.71502685092446</v>
      </c>
      <c r="P55" s="12">
        <f t="shared" si="8"/>
        <v>0</v>
      </c>
      <c r="Q55" s="148"/>
      <c r="R55" s="74"/>
      <c r="S55" s="14">
        <f>F55-'[1]CORREÇÃO DOS ITENS DIVERGENTES'!$P51</f>
        <v>0</v>
      </c>
      <c r="T55" s="12">
        <f t="shared" si="26"/>
        <v>0</v>
      </c>
    </row>
    <row r="56" spans="1:20" hidden="1">
      <c r="A56" s="88">
        <v>4100010</v>
      </c>
      <c r="B56" s="89" t="s">
        <v>67</v>
      </c>
      <c r="C56" s="89" t="s">
        <v>68</v>
      </c>
      <c r="D56" s="101" t="s">
        <v>33</v>
      </c>
      <c r="E56" s="11">
        <v>19.47</v>
      </c>
      <c r="F56" s="11">
        <f>VLOOKUP(A56,'[1]CORREÇÃO DOS ITENS DIVERGENTES'!$A$13:$G$490,7)</f>
        <v>43.905052152113043</v>
      </c>
      <c r="G56" s="91">
        <f t="shared" si="0"/>
        <v>55.913083915715966</v>
      </c>
      <c r="H56" s="12">
        <f t="shared" si="21"/>
        <v>1088.6277438389898</v>
      </c>
      <c r="I56" s="23">
        <v>19.47</v>
      </c>
      <c r="J56" s="11">
        <f t="shared" si="22"/>
        <v>43.905052152113043</v>
      </c>
      <c r="K56" s="10">
        <f t="shared" si="23"/>
        <v>55.913083915715966</v>
      </c>
      <c r="L56" s="12">
        <f t="shared" si="27"/>
        <v>1088.6277438389898</v>
      </c>
      <c r="M56" s="11">
        <v>0</v>
      </c>
      <c r="N56" s="11">
        <f t="shared" si="24"/>
        <v>43.905052152113043</v>
      </c>
      <c r="O56" s="10">
        <f t="shared" si="25"/>
        <v>55.913083915715966</v>
      </c>
      <c r="P56" s="12">
        <f t="shared" si="8"/>
        <v>0</v>
      </c>
      <c r="Q56" s="148"/>
      <c r="R56" s="74"/>
      <c r="S56" s="14">
        <f>F56-'[1]CORREÇÃO DOS ITENS DIVERGENTES'!$P52</f>
        <v>0</v>
      </c>
      <c r="T56" s="12">
        <f t="shared" si="26"/>
        <v>0</v>
      </c>
    </row>
    <row r="57" spans="1:20" ht="22.5" hidden="1">
      <c r="A57" s="92">
        <v>4100011</v>
      </c>
      <c r="B57" s="89" t="s">
        <v>80</v>
      </c>
      <c r="C57" s="100" t="s">
        <v>81</v>
      </c>
      <c r="D57" s="101" t="s">
        <v>19</v>
      </c>
      <c r="E57" s="11">
        <v>1</v>
      </c>
      <c r="F57" s="11">
        <f>VLOOKUP(A57,'[1]CORREÇÃO DOS ITENS DIVERGENTES'!$A$13:$G$490,7)</f>
        <v>585.40069536150725</v>
      </c>
      <c r="G57" s="91">
        <f t="shared" si="0"/>
        <v>745.50778554287956</v>
      </c>
      <c r="H57" s="12">
        <f t="shared" si="21"/>
        <v>745.50778554287956</v>
      </c>
      <c r="I57" s="19">
        <v>1</v>
      </c>
      <c r="J57" s="11">
        <f t="shared" si="22"/>
        <v>585.40069536150725</v>
      </c>
      <c r="K57" s="10">
        <f t="shared" si="23"/>
        <v>745.50778554287956</v>
      </c>
      <c r="L57" s="12">
        <f t="shared" si="27"/>
        <v>745.50778554287956</v>
      </c>
      <c r="M57" s="11">
        <v>-1</v>
      </c>
      <c r="N57" s="11">
        <f t="shared" si="24"/>
        <v>585.40069536150725</v>
      </c>
      <c r="O57" s="10">
        <f t="shared" si="25"/>
        <v>745.50778554287956</v>
      </c>
      <c r="P57" s="12">
        <f t="shared" si="8"/>
        <v>-745.50778554287956</v>
      </c>
      <c r="Q57" s="148"/>
      <c r="R57" s="74"/>
      <c r="S57" s="14">
        <f>F57-'[1]CORREÇÃO DOS ITENS DIVERGENTES'!$P53</f>
        <v>0</v>
      </c>
      <c r="T57" s="12">
        <f t="shared" si="26"/>
        <v>0</v>
      </c>
    </row>
    <row r="58" spans="1:20" ht="22.5" hidden="1">
      <c r="A58" s="92">
        <v>4100012</v>
      </c>
      <c r="B58" s="89" t="s">
        <v>82</v>
      </c>
      <c r="C58" s="100" t="s">
        <v>83</v>
      </c>
      <c r="D58" s="101" t="s">
        <v>66</v>
      </c>
      <c r="E58" s="11">
        <v>30</v>
      </c>
      <c r="F58" s="11">
        <f>VLOOKUP(A58,'[1]CORREÇÃO DOS ITENS DIVERGENTES'!$A$13:$G$490,7)</f>
        <v>57.653098785602985</v>
      </c>
      <c r="G58" s="91">
        <f t="shared" si="0"/>
        <v>73.421221303465401</v>
      </c>
      <c r="H58" s="12">
        <f t="shared" si="21"/>
        <v>2202.6366391039619</v>
      </c>
      <c r="I58" s="19">
        <v>30</v>
      </c>
      <c r="J58" s="11">
        <f t="shared" si="22"/>
        <v>57.653098785602985</v>
      </c>
      <c r="K58" s="10">
        <f t="shared" si="23"/>
        <v>73.421221303465401</v>
      </c>
      <c r="L58" s="12">
        <f t="shared" si="27"/>
        <v>2202.6366391039619</v>
      </c>
      <c r="M58" s="11">
        <v>-30</v>
      </c>
      <c r="N58" s="11">
        <f t="shared" si="24"/>
        <v>57.653098785602985</v>
      </c>
      <c r="O58" s="10">
        <f t="shared" si="25"/>
        <v>73.421221303465401</v>
      </c>
      <c r="P58" s="12">
        <f t="shared" si="8"/>
        <v>-2202.6366391039619</v>
      </c>
      <c r="Q58" s="148"/>
      <c r="R58" s="74"/>
      <c r="S58" s="14">
        <f>F58-'[1]CORREÇÃO DOS ITENS DIVERGENTES'!$P54</f>
        <v>0</v>
      </c>
      <c r="T58" s="12">
        <f t="shared" si="26"/>
        <v>0</v>
      </c>
    </row>
    <row r="59" spans="1:20" s="8" customFormat="1" ht="14.25" hidden="1" customHeight="1">
      <c r="A59" s="85">
        <v>5000000</v>
      </c>
      <c r="B59" s="98"/>
      <c r="C59" s="187" t="s">
        <v>84</v>
      </c>
      <c r="D59" s="187"/>
      <c r="E59" s="187"/>
      <c r="F59" s="187"/>
      <c r="G59" s="142"/>
      <c r="H59" s="87">
        <f>SUM(H60:H69)</f>
        <v>316353.67983622872</v>
      </c>
      <c r="I59" s="159"/>
      <c r="J59" s="159"/>
      <c r="K59" s="27"/>
      <c r="L59" s="26">
        <f>SUM(L60:L69)</f>
        <v>316353.67983622872</v>
      </c>
      <c r="M59" s="159"/>
      <c r="N59" s="159"/>
      <c r="O59" s="27"/>
      <c r="P59" s="17">
        <f>SUM(P60:P69)</f>
        <v>332.1237184593528</v>
      </c>
      <c r="Q59" s="160">
        <f t="shared" si="9"/>
        <v>316685.80355468806</v>
      </c>
      <c r="R59" s="159"/>
      <c r="S59" s="159"/>
      <c r="T59" s="87">
        <f>SUM(T60:T69)</f>
        <v>0</v>
      </c>
    </row>
    <row r="60" spans="1:20" hidden="1">
      <c r="A60" s="88">
        <v>5001000</v>
      </c>
      <c r="B60" s="89">
        <v>68328</v>
      </c>
      <c r="C60" s="89" t="s">
        <v>85</v>
      </c>
      <c r="D60" s="90" t="s">
        <v>22</v>
      </c>
      <c r="E60" s="91">
        <v>41.85</v>
      </c>
      <c r="F60" s="11">
        <f>VLOOKUP(A60,'[1]CORREÇÃO DOS ITENS DIVERGENTES'!$A$13:$G$490,7)</f>
        <v>6.4837561865039657</v>
      </c>
      <c r="G60" s="91">
        <f t="shared" si="0"/>
        <v>8.2570635035127999</v>
      </c>
      <c r="H60" s="12">
        <f t="shared" ref="H60:H69" si="28">E60*G60</f>
        <v>345.55810762201071</v>
      </c>
      <c r="I60" s="22">
        <v>41.85</v>
      </c>
      <c r="J60" s="11">
        <f t="shared" ref="J60:J69" si="29">F60</f>
        <v>6.4837561865039657</v>
      </c>
      <c r="K60" s="10">
        <f t="shared" ref="K60:K69" si="30">J60*1.2735</f>
        <v>8.2570635035127999</v>
      </c>
      <c r="L60" s="12">
        <f>I60*K60</f>
        <v>345.55810762201071</v>
      </c>
      <c r="M60" s="11">
        <v>0</v>
      </c>
      <c r="N60" s="11">
        <f t="shared" ref="N60:N69" si="31">J60</f>
        <v>6.4837561865039657</v>
      </c>
      <c r="O60" s="10">
        <f t="shared" ref="O60:O69" si="32">N60*1.2735</f>
        <v>8.2570635035127999</v>
      </c>
      <c r="P60" s="12">
        <f t="shared" si="8"/>
        <v>0</v>
      </c>
      <c r="Q60" s="148"/>
      <c r="R60" s="74"/>
      <c r="S60" s="14">
        <f>F60-'[1]CORREÇÃO DOS ITENS DIVERGENTES'!$P56</f>
        <v>0</v>
      </c>
      <c r="T60" s="12">
        <f t="shared" ref="T60:T69" si="33">Q60*S60</f>
        <v>0</v>
      </c>
    </row>
    <row r="61" spans="1:20" hidden="1">
      <c r="A61" s="92">
        <v>5002000</v>
      </c>
      <c r="B61" s="89" t="s">
        <v>51</v>
      </c>
      <c r="C61" s="89" t="s">
        <v>52</v>
      </c>
      <c r="D61" s="90" t="s">
        <v>53</v>
      </c>
      <c r="E61" s="91">
        <v>654.70000000000005</v>
      </c>
      <c r="F61" s="11">
        <f>VLOOKUP(A61,'[1]CORREÇÃO DOS ITENS DIVERGENTES'!$A$13:$G$490,7)</f>
        <v>6.4394076489765792</v>
      </c>
      <c r="G61" s="91">
        <f t="shared" si="0"/>
        <v>8.2005856409716742</v>
      </c>
      <c r="H61" s="12">
        <f t="shared" si="28"/>
        <v>5368.9234191441556</v>
      </c>
      <c r="I61" s="22">
        <v>654.70000000000005</v>
      </c>
      <c r="J61" s="11">
        <f t="shared" si="29"/>
        <v>6.4394076489765792</v>
      </c>
      <c r="K61" s="10">
        <f t="shared" si="30"/>
        <v>8.2005856409716742</v>
      </c>
      <c r="L61" s="12">
        <f t="shared" ref="L61:L69" si="34">I61*K61</f>
        <v>5368.9234191441556</v>
      </c>
      <c r="M61" s="11">
        <v>40.5</v>
      </c>
      <c r="N61" s="11">
        <f t="shared" si="31"/>
        <v>6.4394076489765792</v>
      </c>
      <c r="O61" s="10">
        <f t="shared" si="32"/>
        <v>8.2005856409716742</v>
      </c>
      <c r="P61" s="12">
        <f t="shared" si="8"/>
        <v>332.1237184593528</v>
      </c>
      <c r="Q61" s="148"/>
      <c r="R61" s="74"/>
      <c r="S61" s="14">
        <f>F61-'[1]CORREÇÃO DOS ITENS DIVERGENTES'!$P57</f>
        <v>0</v>
      </c>
      <c r="T61" s="12">
        <f t="shared" si="33"/>
        <v>0</v>
      </c>
    </row>
    <row r="62" spans="1:20" ht="22.5" hidden="1">
      <c r="A62" s="88">
        <v>5003000</v>
      </c>
      <c r="B62" s="89" t="s">
        <v>58</v>
      </c>
      <c r="C62" s="89" t="s">
        <v>59</v>
      </c>
      <c r="D62" s="90" t="s">
        <v>33</v>
      </c>
      <c r="E62" s="91">
        <v>99.98</v>
      </c>
      <c r="F62" s="11">
        <f>VLOOKUP(A62,'[1]CORREÇÃO DOS ITENS DIVERGENTES'!$A$13:$G$490,7)</f>
        <v>265.18651499876279</v>
      </c>
      <c r="G62" s="91">
        <f t="shared" si="0"/>
        <v>337.71502685092446</v>
      </c>
      <c r="H62" s="12">
        <f t="shared" si="28"/>
        <v>33764.748384555431</v>
      </c>
      <c r="I62" s="22">
        <v>99.98</v>
      </c>
      <c r="J62" s="11">
        <f t="shared" si="29"/>
        <v>265.18651499876279</v>
      </c>
      <c r="K62" s="10">
        <f t="shared" si="30"/>
        <v>337.71502685092446</v>
      </c>
      <c r="L62" s="12">
        <f t="shared" si="34"/>
        <v>33764.748384555431</v>
      </c>
      <c r="M62" s="11">
        <v>0</v>
      </c>
      <c r="N62" s="11">
        <f t="shared" si="31"/>
        <v>265.18651499876279</v>
      </c>
      <c r="O62" s="10">
        <f t="shared" si="32"/>
        <v>337.71502685092446</v>
      </c>
      <c r="P62" s="12">
        <f t="shared" si="8"/>
        <v>0</v>
      </c>
      <c r="Q62" s="148"/>
      <c r="R62" s="74"/>
      <c r="S62" s="14">
        <f>F62-'[1]CORREÇÃO DOS ITENS DIVERGENTES'!$P58</f>
        <v>0</v>
      </c>
      <c r="T62" s="12">
        <f t="shared" si="33"/>
        <v>0</v>
      </c>
    </row>
    <row r="63" spans="1:20" ht="22.5" hidden="1">
      <c r="A63" s="88">
        <v>5004000</v>
      </c>
      <c r="B63" s="89" t="s">
        <v>86</v>
      </c>
      <c r="C63" s="89" t="s">
        <v>87</v>
      </c>
      <c r="D63" s="90" t="s">
        <v>22</v>
      </c>
      <c r="E63" s="91">
        <v>1145.01</v>
      </c>
      <c r="F63" s="11">
        <f>VLOOKUP(A63,'[1]CORREÇÃO DOS ITENS DIVERGENTES'!$A$13:$G$490,7)</f>
        <v>44.809762317671741</v>
      </c>
      <c r="G63" s="91">
        <f t="shared" si="0"/>
        <v>57.065232311554965</v>
      </c>
      <c r="H63" s="12">
        <f t="shared" si="28"/>
        <v>65340.261649053551</v>
      </c>
      <c r="I63" s="22">
        <v>1145.01</v>
      </c>
      <c r="J63" s="11">
        <f t="shared" si="29"/>
        <v>44.809762317671741</v>
      </c>
      <c r="K63" s="10">
        <f t="shared" si="30"/>
        <v>57.065232311554965</v>
      </c>
      <c r="L63" s="12">
        <f t="shared" si="34"/>
        <v>65340.261649053551</v>
      </c>
      <c r="M63" s="11">
        <v>0</v>
      </c>
      <c r="N63" s="11">
        <f t="shared" si="31"/>
        <v>44.809762317671741</v>
      </c>
      <c r="O63" s="10">
        <f t="shared" si="32"/>
        <v>57.065232311554965</v>
      </c>
      <c r="P63" s="12">
        <f t="shared" si="8"/>
        <v>0</v>
      </c>
      <c r="Q63" s="148"/>
      <c r="R63" s="74"/>
      <c r="S63" s="14">
        <f>F63-'[1]CORREÇÃO DOS ITENS DIVERGENTES'!$P59</f>
        <v>0</v>
      </c>
      <c r="T63" s="12">
        <f t="shared" si="33"/>
        <v>0</v>
      </c>
    </row>
    <row r="64" spans="1:20" hidden="1">
      <c r="A64" s="88">
        <v>5005000</v>
      </c>
      <c r="B64" s="89" t="s">
        <v>88</v>
      </c>
      <c r="C64" s="89" t="s">
        <v>89</v>
      </c>
      <c r="D64" s="90" t="s">
        <v>33</v>
      </c>
      <c r="E64" s="91">
        <v>99.98</v>
      </c>
      <c r="F64" s="11">
        <f>VLOOKUP(A64,'[1]CORREÇÃO DOS ITENS DIVERGENTES'!$A$13:$G$490,7)</f>
        <v>84.962928194967844</v>
      </c>
      <c r="G64" s="91">
        <f t="shared" si="0"/>
        <v>108.20028905629155</v>
      </c>
      <c r="H64" s="12">
        <f t="shared" si="28"/>
        <v>10817.864899848029</v>
      </c>
      <c r="I64" s="22">
        <v>99.98</v>
      </c>
      <c r="J64" s="11">
        <f t="shared" si="29"/>
        <v>84.962928194967844</v>
      </c>
      <c r="K64" s="10">
        <f t="shared" si="30"/>
        <v>108.20028905629155</v>
      </c>
      <c r="L64" s="12">
        <f t="shared" si="34"/>
        <v>10817.864899848029</v>
      </c>
      <c r="M64" s="11">
        <v>0</v>
      </c>
      <c r="N64" s="11">
        <f t="shared" si="31"/>
        <v>84.962928194967844</v>
      </c>
      <c r="O64" s="10">
        <f t="shared" si="32"/>
        <v>108.20028905629155</v>
      </c>
      <c r="P64" s="12">
        <f t="shared" si="8"/>
        <v>0</v>
      </c>
      <c r="Q64" s="148"/>
      <c r="R64" s="74"/>
      <c r="S64" s="14">
        <f>F64-'[1]CORREÇÃO DOS ITENS DIVERGENTES'!$P60</f>
        <v>0</v>
      </c>
      <c r="T64" s="12">
        <f t="shared" si="33"/>
        <v>0</v>
      </c>
    </row>
    <row r="65" spans="1:22" ht="22.5" hidden="1">
      <c r="A65" s="88">
        <v>5006000</v>
      </c>
      <c r="B65" s="89" t="s">
        <v>90</v>
      </c>
      <c r="C65" s="89" t="s">
        <v>91</v>
      </c>
      <c r="D65" s="90" t="s">
        <v>53</v>
      </c>
      <c r="E65" s="91">
        <f>1402.8+206.6</f>
        <v>1609.3999999999999</v>
      </c>
      <c r="F65" s="11">
        <f>VLOOKUP(A65,'[1]CORREÇÃO DOS ITENS DIVERGENTES'!$A$13:$G$490,7)</f>
        <v>5.3040850882754746</v>
      </c>
      <c r="G65" s="91">
        <f t="shared" si="0"/>
        <v>6.7547523599188173</v>
      </c>
      <c r="H65" s="12">
        <f t="shared" si="28"/>
        <v>10871.098448053344</v>
      </c>
      <c r="I65" s="22">
        <f>1402.8+206.6</f>
        <v>1609.3999999999999</v>
      </c>
      <c r="J65" s="11">
        <f t="shared" si="29"/>
        <v>5.3040850882754746</v>
      </c>
      <c r="K65" s="10">
        <f t="shared" si="30"/>
        <v>6.7547523599188173</v>
      </c>
      <c r="L65" s="12">
        <f t="shared" si="34"/>
        <v>10871.098448053344</v>
      </c>
      <c r="M65" s="11">
        <v>0</v>
      </c>
      <c r="N65" s="11">
        <f t="shared" si="31"/>
        <v>5.3040850882754746</v>
      </c>
      <c r="O65" s="10">
        <f t="shared" si="32"/>
        <v>6.7547523599188173</v>
      </c>
      <c r="P65" s="12">
        <f t="shared" si="8"/>
        <v>0</v>
      </c>
      <c r="Q65" s="148"/>
      <c r="R65" s="74"/>
      <c r="S65" s="14">
        <f>F65-'[1]CORREÇÃO DOS ITENS DIVERGENTES'!$P61</f>
        <v>0</v>
      </c>
      <c r="T65" s="12">
        <f t="shared" si="33"/>
        <v>0</v>
      </c>
    </row>
    <row r="66" spans="1:22" s="28" customFormat="1" ht="22.5" hidden="1">
      <c r="A66" s="108">
        <v>5007000</v>
      </c>
      <c r="B66" s="100" t="s">
        <v>71</v>
      </c>
      <c r="C66" s="100" t="s">
        <v>72</v>
      </c>
      <c r="D66" s="101" t="s">
        <v>53</v>
      </c>
      <c r="E66" s="11">
        <v>9570.7000000000007</v>
      </c>
      <c r="F66" s="11">
        <f>VLOOKUP(A66,'[1]CORREÇÃO DOS ITENS DIVERGENTES'!$A$13:$G$490,7)</f>
        <v>5.9160949061534138</v>
      </c>
      <c r="G66" s="91">
        <f t="shared" si="0"/>
        <v>7.5341468629863728</v>
      </c>
      <c r="H66" s="12">
        <f t="shared" si="28"/>
        <v>72107.059381583691</v>
      </c>
      <c r="I66" s="23">
        <v>9570.7000000000007</v>
      </c>
      <c r="J66" s="11">
        <f t="shared" si="29"/>
        <v>5.9160949061534138</v>
      </c>
      <c r="K66" s="10">
        <f t="shared" si="30"/>
        <v>7.5341468629863728</v>
      </c>
      <c r="L66" s="12">
        <f t="shared" si="34"/>
        <v>72107.059381583691</v>
      </c>
      <c r="M66" s="11">
        <v>0</v>
      </c>
      <c r="N66" s="11">
        <f t="shared" si="31"/>
        <v>5.9160949061534138</v>
      </c>
      <c r="O66" s="10">
        <f t="shared" si="32"/>
        <v>7.5341468629863728</v>
      </c>
      <c r="P66" s="12">
        <f t="shared" si="8"/>
        <v>0</v>
      </c>
      <c r="Q66" s="148"/>
      <c r="R66" s="161"/>
      <c r="S66" s="14">
        <f>F66-'[1]CORREÇÃO DOS ITENS DIVERGENTES'!$P62</f>
        <v>0</v>
      </c>
      <c r="T66" s="12">
        <f t="shared" si="33"/>
        <v>0</v>
      </c>
    </row>
    <row r="67" spans="1:22" s="28" customFormat="1" ht="22.5" hidden="1">
      <c r="A67" s="108">
        <v>5008000</v>
      </c>
      <c r="B67" s="100" t="s">
        <v>92</v>
      </c>
      <c r="C67" s="100" t="s">
        <v>93</v>
      </c>
      <c r="D67" s="101" t="s">
        <v>53</v>
      </c>
      <c r="E67" s="11">
        <v>11796.82</v>
      </c>
      <c r="F67" s="11">
        <f>VLOOKUP(A67,'[1]CORREÇÃO DOS ITENS DIVERGENTES'!$A$13:$G$490,7)</f>
        <v>6.1200981787793944</v>
      </c>
      <c r="G67" s="91">
        <f t="shared" si="0"/>
        <v>7.7939450306755589</v>
      </c>
      <c r="H67" s="12">
        <f t="shared" si="28"/>
        <v>91943.766616774039</v>
      </c>
      <c r="I67" s="23">
        <v>11796.82</v>
      </c>
      <c r="J67" s="11">
        <f t="shared" si="29"/>
        <v>6.1200981787793944</v>
      </c>
      <c r="K67" s="10">
        <f t="shared" si="30"/>
        <v>7.7939450306755589</v>
      </c>
      <c r="L67" s="12">
        <f t="shared" si="34"/>
        <v>91943.766616774039</v>
      </c>
      <c r="M67" s="11">
        <v>0</v>
      </c>
      <c r="N67" s="11">
        <f t="shared" si="31"/>
        <v>6.1200981787793944</v>
      </c>
      <c r="O67" s="10">
        <f t="shared" si="32"/>
        <v>7.7939450306755589</v>
      </c>
      <c r="P67" s="12">
        <f t="shared" si="8"/>
        <v>0</v>
      </c>
      <c r="Q67" s="148"/>
      <c r="R67" s="161"/>
      <c r="S67" s="14">
        <f>F67-'[1]CORREÇÃO DOS ITENS DIVERGENTES'!$P63</f>
        <v>0</v>
      </c>
      <c r="T67" s="12">
        <f t="shared" si="33"/>
        <v>0</v>
      </c>
    </row>
    <row r="68" spans="1:22" s="28" customFormat="1" ht="18.75" hidden="1" customHeight="1">
      <c r="A68" s="108">
        <v>5009000</v>
      </c>
      <c r="B68" s="100">
        <v>75689</v>
      </c>
      <c r="C68" s="100" t="s">
        <v>94</v>
      </c>
      <c r="D68" s="101" t="s">
        <v>22</v>
      </c>
      <c r="E68" s="11">
        <v>578.21</v>
      </c>
      <c r="F68" s="11">
        <f>VLOOKUP(A68,'[1]CORREÇÃO DOS ITENS DIVERGENTES'!$A$13:$G$490,7)</f>
        <v>12.089411329965673</v>
      </c>
      <c r="G68" s="91">
        <f t="shared" si="0"/>
        <v>15.395865328711285</v>
      </c>
      <c r="H68" s="12">
        <f t="shared" si="28"/>
        <v>8902.0432917141516</v>
      </c>
      <c r="I68" s="23">
        <v>578.21</v>
      </c>
      <c r="J68" s="11">
        <f t="shared" si="29"/>
        <v>12.089411329965673</v>
      </c>
      <c r="K68" s="10">
        <f t="shared" si="30"/>
        <v>15.395865328711285</v>
      </c>
      <c r="L68" s="12">
        <f t="shared" si="34"/>
        <v>8902.0432917141516</v>
      </c>
      <c r="M68" s="11">
        <v>0</v>
      </c>
      <c r="N68" s="11">
        <f t="shared" si="31"/>
        <v>12.089411329965673</v>
      </c>
      <c r="O68" s="10">
        <f t="shared" si="32"/>
        <v>15.395865328711285</v>
      </c>
      <c r="P68" s="12">
        <f t="shared" si="8"/>
        <v>0</v>
      </c>
      <c r="Q68" s="148"/>
      <c r="R68" s="161"/>
      <c r="S68" s="14">
        <f>F68-'[1]CORREÇÃO DOS ITENS DIVERGENTES'!$P64</f>
        <v>0</v>
      </c>
      <c r="T68" s="12">
        <f t="shared" si="33"/>
        <v>0</v>
      </c>
    </row>
    <row r="69" spans="1:22" s="28" customFormat="1" hidden="1">
      <c r="A69" s="108">
        <v>5010000</v>
      </c>
      <c r="B69" s="100" t="s">
        <v>95</v>
      </c>
      <c r="C69" s="100" t="s">
        <v>96</v>
      </c>
      <c r="D69" s="101" t="s">
        <v>33</v>
      </c>
      <c r="E69" s="11">
        <v>58.39</v>
      </c>
      <c r="F69" s="11">
        <f>VLOOKUP(A69,'[1]CORREÇÃO DOS ITENS DIVERGENTES'!$A$13:$G$490,7)</f>
        <v>227.17094863028672</v>
      </c>
      <c r="G69" s="91">
        <f t="shared" si="0"/>
        <v>289.30220308067015</v>
      </c>
      <c r="H69" s="12">
        <f t="shared" si="28"/>
        <v>16892.35563788033</v>
      </c>
      <c r="I69" s="23">
        <v>58.39</v>
      </c>
      <c r="J69" s="11">
        <f t="shared" si="29"/>
        <v>227.17094863028672</v>
      </c>
      <c r="K69" s="10">
        <f t="shared" si="30"/>
        <v>289.30220308067015</v>
      </c>
      <c r="L69" s="12">
        <f t="shared" si="34"/>
        <v>16892.35563788033</v>
      </c>
      <c r="M69" s="11">
        <v>0</v>
      </c>
      <c r="N69" s="11">
        <f t="shared" si="31"/>
        <v>227.17094863028672</v>
      </c>
      <c r="O69" s="10">
        <f t="shared" si="32"/>
        <v>289.30220308067015</v>
      </c>
      <c r="P69" s="12">
        <f t="shared" si="8"/>
        <v>0</v>
      </c>
      <c r="Q69" s="148"/>
      <c r="R69" s="161"/>
      <c r="S69" s="14">
        <f>F69-'[1]CORREÇÃO DOS ITENS DIVERGENTES'!$P65</f>
        <v>0</v>
      </c>
      <c r="T69" s="12">
        <f t="shared" si="33"/>
        <v>0</v>
      </c>
    </row>
    <row r="70" spans="1:22" s="29" customFormat="1" ht="14.25" hidden="1" customHeight="1">
      <c r="A70" s="109">
        <v>6000000</v>
      </c>
      <c r="B70" s="110"/>
      <c r="C70" s="201" t="s">
        <v>97</v>
      </c>
      <c r="D70" s="201"/>
      <c r="E70" s="201"/>
      <c r="F70" s="201"/>
      <c r="G70" s="143"/>
      <c r="H70" s="87">
        <f>SUM(H71:H79)</f>
        <v>92813.323941866023</v>
      </c>
      <c r="I70" s="162"/>
      <c r="J70" s="162"/>
      <c r="K70" s="30"/>
      <c r="L70" s="26">
        <f>SUM(L71:L79)</f>
        <v>56190.618730224749</v>
      </c>
      <c r="M70" s="162"/>
      <c r="N70" s="162"/>
      <c r="O70" s="31"/>
      <c r="P70" s="17">
        <f>SUM(P71:P79)</f>
        <v>5563.7029160072971</v>
      </c>
      <c r="Q70" s="160">
        <f t="shared" si="9"/>
        <v>61754.321646232049</v>
      </c>
      <c r="R70" s="162"/>
      <c r="S70" s="14">
        <f>F70-'[1]CORREÇÃO DOS ITENS DIVERGENTES'!$P66</f>
        <v>0</v>
      </c>
      <c r="T70" s="87">
        <f>SUM(T71:T79)</f>
        <v>52470.349693797943</v>
      </c>
    </row>
    <row r="71" spans="1:22" s="28" customFormat="1" ht="29.25" hidden="1" customHeight="1">
      <c r="A71" s="108">
        <v>6001000</v>
      </c>
      <c r="B71" s="111" t="s">
        <v>98</v>
      </c>
      <c r="C71" s="111" t="s">
        <v>99</v>
      </c>
      <c r="D71" s="112" t="s">
        <v>30</v>
      </c>
      <c r="E71" s="113">
        <v>1148.8499999999999</v>
      </c>
      <c r="F71" s="11">
        <f>VLOOKUP(A71,'[1]CORREÇÃO DOS ITENS DIVERGENTES'!$A$13:$G$490,7)</f>
        <v>24.702135402754511</v>
      </c>
      <c r="G71" s="91">
        <f t="shared" si="0"/>
        <v>31.458169435407871</v>
      </c>
      <c r="H71" s="12">
        <f t="shared" ref="H71:H76" si="35">E71*G71</f>
        <v>36140.717955868327</v>
      </c>
      <c r="I71" s="32">
        <f>1148.85+M71</f>
        <v>1107.73</v>
      </c>
      <c r="J71" s="11">
        <f t="shared" ref="J71:J76" si="36">F71</f>
        <v>24.702135402754511</v>
      </c>
      <c r="K71" s="10">
        <f t="shared" ref="K71:K76" si="37">J71*1.2735</f>
        <v>31.458169435407871</v>
      </c>
      <c r="L71" s="12">
        <f>I71*K71</f>
        <v>34847.15802868436</v>
      </c>
      <c r="M71" s="11">
        <f>1107.73-1148.85</f>
        <v>-41.119999999999891</v>
      </c>
      <c r="N71" s="11">
        <f t="shared" ref="N71:N76" si="38">J71</f>
        <v>24.702135402754511</v>
      </c>
      <c r="O71" s="10">
        <f t="shared" ref="O71:O76" si="39">N71*1.2735</f>
        <v>31.458169435407871</v>
      </c>
      <c r="P71" s="12">
        <f t="shared" si="8"/>
        <v>-1293.5599271839683</v>
      </c>
      <c r="Q71" s="145"/>
      <c r="R71" s="161"/>
      <c r="S71" s="14">
        <f>F71-'[1]CORREÇÃO DOS ITENS DIVERGENTES'!$P67</f>
        <v>0</v>
      </c>
      <c r="T71" s="12">
        <f t="shared" ref="T71:T76" si="40">Q71*S71</f>
        <v>0</v>
      </c>
      <c r="V71" s="33"/>
    </row>
    <row r="72" spans="1:22" ht="28.5" hidden="1" customHeight="1">
      <c r="A72" s="92">
        <v>6002000</v>
      </c>
      <c r="B72" s="89" t="s">
        <v>100</v>
      </c>
      <c r="C72" s="89" t="s">
        <v>101</v>
      </c>
      <c r="D72" s="90" t="s">
        <v>102</v>
      </c>
      <c r="E72" s="91">
        <v>254.8</v>
      </c>
      <c r="F72" s="11">
        <f>VLOOKUP(A72,'[1]CORREÇÃO DOS ITENS DIVERGENTES'!$A$13:$G$490,7)</f>
        <v>2.785088156719898</v>
      </c>
      <c r="G72" s="91">
        <f t="shared" si="0"/>
        <v>3.5468097675827903</v>
      </c>
      <c r="H72" s="12">
        <f t="shared" si="35"/>
        <v>903.72712878009497</v>
      </c>
      <c r="I72" s="22">
        <v>254.8</v>
      </c>
      <c r="J72" s="11">
        <f t="shared" si="36"/>
        <v>2.785088156719898</v>
      </c>
      <c r="K72" s="10">
        <f t="shared" si="37"/>
        <v>3.5468097675827903</v>
      </c>
      <c r="L72" s="12">
        <f t="shared" ref="L72:L76" si="41">I72*K72</f>
        <v>903.72712878009497</v>
      </c>
      <c r="M72" s="11">
        <v>22.96</v>
      </c>
      <c r="N72" s="11">
        <f t="shared" si="38"/>
        <v>2.785088156719898</v>
      </c>
      <c r="O72" s="10">
        <f t="shared" si="39"/>
        <v>3.5468097675827903</v>
      </c>
      <c r="P72" s="12">
        <f t="shared" si="8"/>
        <v>81.434752263700872</v>
      </c>
      <c r="Q72" s="148"/>
      <c r="R72" s="74"/>
      <c r="S72" s="14">
        <f>F72-'[1]CORREÇÃO DOS ITENS DIVERGENTES'!$P68</f>
        <v>0</v>
      </c>
      <c r="T72" s="12">
        <f t="shared" si="40"/>
        <v>0</v>
      </c>
    </row>
    <row r="73" spans="1:22" ht="22.5" hidden="1">
      <c r="A73" s="92">
        <v>6003000</v>
      </c>
      <c r="B73" s="89" t="s">
        <v>103</v>
      </c>
      <c r="C73" s="89" t="s">
        <v>104</v>
      </c>
      <c r="D73" s="90" t="s">
        <v>102</v>
      </c>
      <c r="E73" s="91">
        <v>123.58</v>
      </c>
      <c r="F73" s="11">
        <f>VLOOKUP(A73,'[1]CORREÇÃO DOS ITENS DIVERGENTES'!$A$13:$G$490,7)</f>
        <v>9.7921570860470286</v>
      </c>
      <c r="G73" s="91">
        <f t="shared" si="0"/>
        <v>12.470312049080892</v>
      </c>
      <c r="H73" s="12">
        <f t="shared" si="35"/>
        <v>1541.0811630254166</v>
      </c>
      <c r="I73" s="22">
        <v>123.58</v>
      </c>
      <c r="J73" s="11">
        <f t="shared" si="36"/>
        <v>9.7921570860470286</v>
      </c>
      <c r="K73" s="10">
        <f t="shared" si="37"/>
        <v>12.470312049080892</v>
      </c>
      <c r="L73" s="12">
        <f t="shared" si="41"/>
        <v>1541.0811630254166</v>
      </c>
      <c r="M73" s="11">
        <v>10.32</v>
      </c>
      <c r="N73" s="11">
        <f t="shared" si="38"/>
        <v>9.7921570860470286</v>
      </c>
      <c r="O73" s="10">
        <f t="shared" si="39"/>
        <v>12.470312049080892</v>
      </c>
      <c r="P73" s="12">
        <f t="shared" si="8"/>
        <v>128.69362034651482</v>
      </c>
      <c r="Q73" s="148"/>
      <c r="R73" s="74"/>
      <c r="S73" s="14">
        <f>F73-'[1]CORREÇÃO DOS ITENS DIVERGENTES'!$P69</f>
        <v>0</v>
      </c>
      <c r="T73" s="12">
        <f t="shared" si="40"/>
        <v>0</v>
      </c>
    </row>
    <row r="74" spans="1:22" ht="22.5" hidden="1">
      <c r="A74" s="88">
        <v>6004000</v>
      </c>
      <c r="B74" s="111">
        <v>72244</v>
      </c>
      <c r="C74" s="94" t="s">
        <v>105</v>
      </c>
      <c r="D74" s="90" t="s">
        <v>22</v>
      </c>
      <c r="E74" s="91">
        <f>12.6+4.6</f>
        <v>17.2</v>
      </c>
      <c r="F74" s="11">
        <f>VLOOKUP(A74,'[1]CORREÇÃO DOS ITENS DIVERGENTES'!$A$13:$G$490,7)</f>
        <v>165.89013947494348</v>
      </c>
      <c r="G74" s="91">
        <f t="shared" si="0"/>
        <v>211.26109262134054</v>
      </c>
      <c r="H74" s="12">
        <f t="shared" si="35"/>
        <v>3633.690793087057</v>
      </c>
      <c r="I74" s="22">
        <f>12.6+4.6</f>
        <v>17.2</v>
      </c>
      <c r="J74" s="11">
        <f t="shared" si="36"/>
        <v>165.89013947494348</v>
      </c>
      <c r="K74" s="10">
        <f t="shared" si="37"/>
        <v>211.26109262134054</v>
      </c>
      <c r="L74" s="12">
        <f t="shared" si="41"/>
        <v>3633.690793087057</v>
      </c>
      <c r="M74" s="11">
        <v>0</v>
      </c>
      <c r="N74" s="11">
        <f t="shared" si="38"/>
        <v>165.89013947494348</v>
      </c>
      <c r="O74" s="10">
        <f t="shared" si="39"/>
        <v>211.26109262134054</v>
      </c>
      <c r="P74" s="12">
        <f t="shared" si="8"/>
        <v>0</v>
      </c>
      <c r="Q74" s="148"/>
      <c r="R74" s="74"/>
      <c r="S74" s="14">
        <f>F74-'[1]CORREÇÃO DOS ITENS DIVERGENTES'!$P70</f>
        <v>0</v>
      </c>
      <c r="T74" s="12">
        <f t="shared" si="40"/>
        <v>0</v>
      </c>
    </row>
    <row r="75" spans="1:22" ht="22.5" hidden="1">
      <c r="A75" s="88">
        <v>6005000</v>
      </c>
      <c r="B75" s="89" t="s">
        <v>106</v>
      </c>
      <c r="C75" s="89" t="s">
        <v>107</v>
      </c>
      <c r="D75" s="90" t="s">
        <v>22</v>
      </c>
      <c r="E75" s="91">
        <v>101.5</v>
      </c>
      <c r="F75" s="11">
        <f>VLOOKUP(A75,'[1]CORREÇÃO DOS ITENS DIVERGENTES'!$A$13:$G$490,7)</f>
        <v>29.349862135624662</v>
      </c>
      <c r="G75" s="91">
        <f t="shared" si="0"/>
        <v>37.377049429718006</v>
      </c>
      <c r="H75" s="12">
        <f t="shared" si="35"/>
        <v>3793.7705171163775</v>
      </c>
      <c r="I75" s="22">
        <f>101.5+M75</f>
        <v>279.33999999999997</v>
      </c>
      <c r="J75" s="11">
        <f t="shared" si="36"/>
        <v>29.349862135624662</v>
      </c>
      <c r="K75" s="10">
        <f t="shared" si="37"/>
        <v>37.377049429718006</v>
      </c>
      <c r="L75" s="12">
        <f t="shared" si="41"/>
        <v>10440.904987697428</v>
      </c>
      <c r="M75" s="11">
        <f>279.34-101.5</f>
        <v>177.83999999999997</v>
      </c>
      <c r="N75" s="11">
        <f t="shared" si="38"/>
        <v>29.349862135624662</v>
      </c>
      <c r="O75" s="10">
        <f t="shared" si="39"/>
        <v>37.377049429718006</v>
      </c>
      <c r="P75" s="12">
        <f t="shared" si="8"/>
        <v>6647.1344705810498</v>
      </c>
      <c r="Q75" s="148"/>
      <c r="R75" s="74"/>
      <c r="S75" s="14">
        <f>F75-'[1]CORREÇÃO DOS ITENS DIVERGENTES'!$P71</f>
        <v>0</v>
      </c>
      <c r="T75" s="12">
        <f t="shared" si="40"/>
        <v>0</v>
      </c>
    </row>
    <row r="76" spans="1:22" ht="22.5" hidden="1">
      <c r="A76" s="88">
        <v>6006000</v>
      </c>
      <c r="B76" s="89" t="s">
        <v>108</v>
      </c>
      <c r="C76" s="89" t="s">
        <v>109</v>
      </c>
      <c r="D76" s="90" t="s">
        <v>22</v>
      </c>
      <c r="E76" s="91">
        <v>77.650000000000006</v>
      </c>
      <c r="F76" s="11">
        <f>VLOOKUP(A76,'[1]CORREÇÃO DOS ITENS DIVERGENTES'!$A$13:$G$490,7)</f>
        <v>48.783391280125599</v>
      </c>
      <c r="G76" s="91">
        <f t="shared" si="0"/>
        <v>62.125648795239954</v>
      </c>
      <c r="H76" s="12">
        <f t="shared" si="35"/>
        <v>4824.0566289503831</v>
      </c>
      <c r="I76" s="22">
        <v>77.650000000000006</v>
      </c>
      <c r="J76" s="11">
        <f t="shared" si="36"/>
        <v>48.783391280125599</v>
      </c>
      <c r="K76" s="10">
        <f t="shared" si="37"/>
        <v>62.125648795239954</v>
      </c>
      <c r="L76" s="12">
        <f t="shared" si="41"/>
        <v>4824.0566289503831</v>
      </c>
      <c r="M76" s="11">
        <v>0</v>
      </c>
      <c r="N76" s="11">
        <f t="shared" si="38"/>
        <v>48.783391280125599</v>
      </c>
      <c r="O76" s="10">
        <f t="shared" si="39"/>
        <v>62.125648795239954</v>
      </c>
      <c r="P76" s="12">
        <f t="shared" si="8"/>
        <v>0</v>
      </c>
      <c r="Q76" s="148"/>
      <c r="R76" s="74"/>
      <c r="S76" s="14">
        <f>F76-'[1]CORREÇÃO DOS ITENS DIVERGENTES'!$P72</f>
        <v>0</v>
      </c>
      <c r="T76" s="12">
        <f t="shared" si="40"/>
        <v>0</v>
      </c>
    </row>
    <row r="77" spans="1:22">
      <c r="A77" s="139">
        <v>1000000</v>
      </c>
      <c r="B77" s="139"/>
      <c r="C77" s="149" t="s">
        <v>16</v>
      </c>
      <c r="D77" s="139"/>
      <c r="E77" s="139"/>
      <c r="F77" s="139"/>
      <c r="G77" s="139"/>
      <c r="H77" s="140">
        <f>H78+H80</f>
        <v>22233.728000000003</v>
      </c>
      <c r="I77" s="140"/>
      <c r="J77" s="140"/>
      <c r="K77" s="140"/>
      <c r="L77" s="140"/>
      <c r="M77" s="140"/>
      <c r="N77" s="140"/>
      <c r="O77" s="140"/>
      <c r="P77" s="140"/>
      <c r="Q77" s="140"/>
      <c r="R77" s="140"/>
      <c r="S77" s="140"/>
      <c r="T77" s="140">
        <f>T78+T80</f>
        <v>27792.160000000003</v>
      </c>
      <c r="U77" s="9"/>
    </row>
    <row r="78" spans="1:22">
      <c r="A78" s="88">
        <v>1003000</v>
      </c>
      <c r="B78" s="89" t="s">
        <v>23</v>
      </c>
      <c r="C78" s="89" t="s">
        <v>24</v>
      </c>
      <c r="D78" s="90" t="s">
        <v>22</v>
      </c>
      <c r="E78" s="91">
        <f>(60*2+50*2)*2.2</f>
        <v>484.00000000000006</v>
      </c>
      <c r="F78" s="35">
        <v>40.35</v>
      </c>
      <c r="G78" s="91">
        <f t="shared" ref="G78:G80" si="42">F78*1.25</f>
        <v>50.4375</v>
      </c>
      <c r="H78" s="12">
        <f>E78*F78</f>
        <v>19529.400000000001</v>
      </c>
      <c r="I78" s="22"/>
      <c r="J78" s="11"/>
      <c r="K78" s="10"/>
      <c r="L78" s="12"/>
      <c r="M78" s="11"/>
      <c r="N78" s="11"/>
      <c r="O78" s="10"/>
      <c r="P78" s="12"/>
      <c r="Q78" s="148"/>
      <c r="R78" s="74"/>
      <c r="S78" s="14"/>
      <c r="T78" s="12">
        <f>E78*G78</f>
        <v>24411.750000000004</v>
      </c>
    </row>
    <row r="79" spans="1:22" ht="22.5" hidden="1">
      <c r="A79" s="88">
        <v>6007000</v>
      </c>
      <c r="B79" s="93" t="s">
        <v>110</v>
      </c>
      <c r="C79" s="93" t="s">
        <v>111</v>
      </c>
      <c r="D79" s="114" t="s">
        <v>22</v>
      </c>
      <c r="E79" s="115">
        <v>4.79</v>
      </c>
      <c r="F79" s="35">
        <f>VLOOKUP(A79,'[1]CORREÇÃO DOS ITENS DIVERGENTES'!$A$13:$G$490,7)</f>
        <v>44.499322554980026</v>
      </c>
      <c r="G79" s="91">
        <f t="shared" si="42"/>
        <v>55.624153193725036</v>
      </c>
      <c r="H79" s="12">
        <f t="shared" ref="H79:H80" si="43">E79*F79</f>
        <v>213.15175503835434</v>
      </c>
      <c r="I79" s="22"/>
      <c r="J79" s="11"/>
      <c r="K79" s="10"/>
      <c r="L79" s="12"/>
      <c r="M79" s="11"/>
      <c r="N79" s="11"/>
      <c r="O79" s="10"/>
      <c r="P79" s="12"/>
      <c r="Q79" s="148"/>
      <c r="R79" s="74"/>
      <c r="S79" s="14"/>
      <c r="T79" s="12">
        <f t="shared" ref="T79:T80" si="44">E79*G79</f>
        <v>266.43969379794294</v>
      </c>
    </row>
    <row r="80" spans="1:22">
      <c r="A80" s="88">
        <v>1006000</v>
      </c>
      <c r="B80" s="89" t="s">
        <v>28</v>
      </c>
      <c r="C80" s="89" t="s">
        <v>29</v>
      </c>
      <c r="D80" s="90" t="s">
        <v>22</v>
      </c>
      <c r="E80" s="91">
        <v>8.8000000000000007</v>
      </c>
      <c r="F80" s="35">
        <v>307.31</v>
      </c>
      <c r="G80" s="91">
        <f t="shared" si="42"/>
        <v>384.13749999999999</v>
      </c>
      <c r="H80" s="12">
        <f t="shared" si="43"/>
        <v>2704.3280000000004</v>
      </c>
      <c r="I80" s="22"/>
      <c r="J80" s="11"/>
      <c r="K80" s="10"/>
      <c r="L80" s="12"/>
      <c r="M80" s="11"/>
      <c r="N80" s="11"/>
      <c r="O80" s="10"/>
      <c r="P80" s="12"/>
      <c r="Q80" s="148"/>
      <c r="R80" s="74"/>
      <c r="S80" s="14"/>
      <c r="T80" s="12">
        <f t="shared" si="44"/>
        <v>3380.4100000000003</v>
      </c>
    </row>
    <row r="81" spans="1:22" s="29" customFormat="1" ht="14.25" customHeight="1">
      <c r="A81" s="139">
        <v>6000000</v>
      </c>
      <c r="B81" s="139"/>
      <c r="C81" s="139" t="s">
        <v>97</v>
      </c>
      <c r="D81" s="139"/>
      <c r="E81" s="139"/>
      <c r="F81" s="139"/>
      <c r="G81" s="139"/>
      <c r="H81" s="140">
        <f>SUM(H82)</f>
        <v>3678.7824000000001</v>
      </c>
      <c r="I81" s="162"/>
      <c r="J81" s="162"/>
      <c r="K81" s="30"/>
      <c r="L81" s="26">
        <f>SUM(L83:L88)</f>
        <v>21037.796371480581</v>
      </c>
      <c r="M81" s="162"/>
      <c r="N81" s="162"/>
      <c r="O81" s="31"/>
      <c r="P81" s="17">
        <f>SUM(P83:P88)</f>
        <v>0</v>
      </c>
      <c r="Q81" s="160">
        <f t="shared" ref="Q81" si="45">L81+P81</f>
        <v>21037.796371480581</v>
      </c>
      <c r="R81" s="162"/>
      <c r="S81" s="14" t="e">
        <f>F81-'[1]CORREÇÃO DOS ITENS DIVERGENTES'!$P74</f>
        <v>#REF!</v>
      </c>
      <c r="T81" s="140">
        <f>SUM(T82)</f>
        <v>4598.4780000000001</v>
      </c>
    </row>
    <row r="82" spans="1:22" ht="22.5">
      <c r="A82" s="88">
        <v>6004000</v>
      </c>
      <c r="B82" s="111" t="s">
        <v>112</v>
      </c>
      <c r="C82" s="94" t="s">
        <v>105</v>
      </c>
      <c r="D82" s="90" t="s">
        <v>22</v>
      </c>
      <c r="E82" s="91">
        <v>7.38</v>
      </c>
      <c r="F82" s="35">
        <v>498.48</v>
      </c>
      <c r="G82" s="91">
        <f>F82*1.25</f>
        <v>623.1</v>
      </c>
      <c r="H82" s="12">
        <f>E82*F82</f>
        <v>3678.7824000000001</v>
      </c>
      <c r="I82" s="22">
        <f>12.6+4.6</f>
        <v>17.2</v>
      </c>
      <c r="J82" s="11">
        <f>F82</f>
        <v>498.48</v>
      </c>
      <c r="K82" s="10">
        <f t="shared" ref="K82" si="46">J82*1.2735</f>
        <v>634.81428000000005</v>
      </c>
      <c r="L82" s="12">
        <f t="shared" ref="L82" si="47">I82*K82</f>
        <v>10918.805616</v>
      </c>
      <c r="M82" s="11">
        <v>0</v>
      </c>
      <c r="N82" s="11">
        <f t="shared" ref="N82" si="48">J82</f>
        <v>498.48</v>
      </c>
      <c r="O82" s="10">
        <f t="shared" ref="O82" si="49">N82*1.2735</f>
        <v>634.81428000000005</v>
      </c>
      <c r="P82" s="12">
        <f t="shared" ref="P82" si="50">M82*O82</f>
        <v>0</v>
      </c>
      <c r="Q82" s="148"/>
      <c r="R82" s="74"/>
      <c r="S82" s="14">
        <f>F82-'[1]CORREÇÃO DOS ITENS DIVERGENTES'!$P75</f>
        <v>47.739203986650409</v>
      </c>
      <c r="T82" s="12">
        <f t="shared" ref="T82:T143" si="51">E82*G82</f>
        <v>4598.4780000000001</v>
      </c>
    </row>
    <row r="83" spans="1:22" s="8" customFormat="1" ht="14.25" customHeight="1">
      <c r="A83" s="139">
        <v>7000000</v>
      </c>
      <c r="B83" s="139"/>
      <c r="C83" s="139" t="s">
        <v>113</v>
      </c>
      <c r="D83" s="139"/>
      <c r="E83" s="139"/>
      <c r="F83" s="139"/>
      <c r="G83" s="139"/>
      <c r="H83" s="140">
        <f>SUM(H84:H87)</f>
        <v>7069.2000000000007</v>
      </c>
      <c r="I83" s="159"/>
      <c r="J83" s="159"/>
      <c r="K83" s="27"/>
      <c r="L83" s="26">
        <f>SUM(L84:L88)</f>
        <v>10518.898185740292</v>
      </c>
      <c r="M83" s="159"/>
      <c r="N83" s="159"/>
      <c r="O83" s="16"/>
      <c r="P83" s="17">
        <f>SUM(P84:P88)</f>
        <v>0</v>
      </c>
      <c r="Q83" s="160">
        <f t="shared" si="9"/>
        <v>10518.898185740292</v>
      </c>
      <c r="R83" s="159"/>
      <c r="S83" s="159"/>
      <c r="T83" s="140">
        <f>SUM(T84:T87)</f>
        <v>8836.5</v>
      </c>
    </row>
    <row r="84" spans="1:22" ht="22.5">
      <c r="A84" s="99">
        <v>7001000</v>
      </c>
      <c r="B84" s="89" t="s">
        <v>114</v>
      </c>
      <c r="C84" s="89" t="s">
        <v>115</v>
      </c>
      <c r="D84" s="90" t="s">
        <v>19</v>
      </c>
      <c r="E84" s="91">
        <v>2</v>
      </c>
      <c r="F84" s="35">
        <v>508.18</v>
      </c>
      <c r="G84" s="91">
        <f t="shared" ref="G84:G146" si="52">F84*1.25</f>
        <v>635.22500000000002</v>
      </c>
      <c r="H84" s="12">
        <f t="shared" ref="H84:H87" si="53">E84*F84</f>
        <v>1016.36</v>
      </c>
      <c r="I84" s="22">
        <v>2</v>
      </c>
      <c r="J84" s="11">
        <f>F84</f>
        <v>508.18</v>
      </c>
      <c r="K84" s="10">
        <f t="shared" ref="K84:K88" si="54">J84*1.2735</f>
        <v>647.16723000000002</v>
      </c>
      <c r="L84" s="12">
        <f>I84*K84</f>
        <v>1294.33446</v>
      </c>
      <c r="M84" s="11">
        <v>0</v>
      </c>
      <c r="N84" s="11">
        <f t="shared" ref="N84:N88" si="55">J84</f>
        <v>508.18</v>
      </c>
      <c r="O84" s="10">
        <f t="shared" ref="O84:O88" si="56">N84*1.2735</f>
        <v>647.16723000000002</v>
      </c>
      <c r="P84" s="12">
        <f t="shared" si="8"/>
        <v>0</v>
      </c>
      <c r="Q84" s="148"/>
      <c r="R84" s="74"/>
      <c r="S84" s="14">
        <f>F84-'[1]CORREÇÃO DOS ITENS DIVERGENTES'!$P75</f>
        <v>57.439203986650398</v>
      </c>
      <c r="T84" s="12">
        <f t="shared" si="51"/>
        <v>1270.45</v>
      </c>
    </row>
    <row r="85" spans="1:22" ht="33.75">
      <c r="A85" s="99">
        <v>7002000</v>
      </c>
      <c r="B85" s="89" t="s">
        <v>116</v>
      </c>
      <c r="C85" s="89" t="s">
        <v>117</v>
      </c>
      <c r="D85" s="90" t="s">
        <v>19</v>
      </c>
      <c r="E85" s="91">
        <v>9</v>
      </c>
      <c r="F85" s="35">
        <v>392.36</v>
      </c>
      <c r="G85" s="91">
        <f t="shared" si="52"/>
        <v>490.45000000000005</v>
      </c>
      <c r="H85" s="12">
        <f t="shared" si="53"/>
        <v>3531.2400000000002</v>
      </c>
      <c r="I85" s="22">
        <v>10</v>
      </c>
      <c r="J85" s="11">
        <f>F85</f>
        <v>392.36</v>
      </c>
      <c r="K85" s="10">
        <f t="shared" si="54"/>
        <v>499.67046000000005</v>
      </c>
      <c r="L85" s="12">
        <f>I85*K85</f>
        <v>4996.7046000000009</v>
      </c>
      <c r="M85" s="11">
        <v>0</v>
      </c>
      <c r="N85" s="11">
        <f t="shared" si="55"/>
        <v>392.36</v>
      </c>
      <c r="O85" s="10">
        <f t="shared" si="56"/>
        <v>499.67046000000005</v>
      </c>
      <c r="P85" s="12">
        <f t="shared" si="8"/>
        <v>0</v>
      </c>
      <c r="Q85" s="148"/>
      <c r="R85" s="74"/>
      <c r="S85" s="14">
        <f>F85-'[1]CORREÇÃO DOS ITENS DIVERGENTES'!$P76</f>
        <v>73.582712253142915</v>
      </c>
      <c r="T85" s="12">
        <f t="shared" si="51"/>
        <v>4414.05</v>
      </c>
    </row>
    <row r="86" spans="1:22" ht="22.5">
      <c r="A86" s="99">
        <v>7003000</v>
      </c>
      <c r="B86" s="89" t="s">
        <v>118</v>
      </c>
      <c r="C86" s="89" t="s">
        <v>119</v>
      </c>
      <c r="D86" s="90" t="s">
        <v>19</v>
      </c>
      <c r="E86" s="91">
        <v>2</v>
      </c>
      <c r="F86" s="35">
        <v>392.36</v>
      </c>
      <c r="G86" s="91">
        <f t="shared" si="52"/>
        <v>490.45000000000005</v>
      </c>
      <c r="H86" s="12">
        <f t="shared" si="53"/>
        <v>784.72</v>
      </c>
      <c r="I86" s="22">
        <v>2</v>
      </c>
      <c r="J86" s="11">
        <f>F86</f>
        <v>392.36</v>
      </c>
      <c r="K86" s="10">
        <f t="shared" si="54"/>
        <v>499.67046000000005</v>
      </c>
      <c r="L86" s="12">
        <f t="shared" ref="L86:L88" si="57">I86*K86</f>
        <v>999.3409200000001</v>
      </c>
      <c r="M86" s="11">
        <v>0</v>
      </c>
      <c r="N86" s="11">
        <f t="shared" si="55"/>
        <v>392.36</v>
      </c>
      <c r="O86" s="10">
        <f t="shared" si="56"/>
        <v>499.67046000000005</v>
      </c>
      <c r="P86" s="12">
        <f t="shared" si="8"/>
        <v>0</v>
      </c>
      <c r="Q86" s="148"/>
      <c r="R86" s="74"/>
      <c r="S86" s="14">
        <f>F86-'[1]CORREÇÃO DOS ITENS DIVERGENTES'!$P77</f>
        <v>73.582712253142915</v>
      </c>
      <c r="T86" s="12">
        <f t="shared" si="51"/>
        <v>980.90000000000009</v>
      </c>
    </row>
    <row r="87" spans="1:22" ht="22.5">
      <c r="A87" s="99">
        <v>7004000</v>
      </c>
      <c r="B87" s="89" t="s">
        <v>120</v>
      </c>
      <c r="C87" s="89" t="s">
        <v>121</v>
      </c>
      <c r="D87" s="90" t="s">
        <v>19</v>
      </c>
      <c r="E87" s="91">
        <v>6</v>
      </c>
      <c r="F87" s="35">
        <v>289.48</v>
      </c>
      <c r="G87" s="91">
        <f t="shared" si="52"/>
        <v>361.85</v>
      </c>
      <c r="H87" s="12">
        <f t="shared" si="53"/>
        <v>1736.88</v>
      </c>
      <c r="I87" s="22">
        <v>6</v>
      </c>
      <c r="J87" s="11">
        <f>F87</f>
        <v>289.48</v>
      </c>
      <c r="K87" s="10">
        <f t="shared" si="54"/>
        <v>368.65278000000006</v>
      </c>
      <c r="L87" s="12">
        <f t="shared" si="57"/>
        <v>2211.9166800000003</v>
      </c>
      <c r="M87" s="11">
        <v>0</v>
      </c>
      <c r="N87" s="11">
        <f t="shared" si="55"/>
        <v>289.48</v>
      </c>
      <c r="O87" s="10">
        <f t="shared" si="56"/>
        <v>368.65278000000006</v>
      </c>
      <c r="P87" s="12">
        <f t="shared" ref="P87:P150" si="58">M87*O87</f>
        <v>0</v>
      </c>
      <c r="Q87" s="148"/>
      <c r="R87" s="74"/>
      <c r="S87" s="14">
        <f>F87-'[1]CORREÇÃO DOS ITENS DIVERGENTES'!$P78</f>
        <v>74.691163047359737</v>
      </c>
      <c r="T87" s="12">
        <f t="shared" si="51"/>
        <v>2171.1000000000004</v>
      </c>
    </row>
    <row r="88" spans="1:22" s="28" customFormat="1" ht="18.75" hidden="1" customHeight="1">
      <c r="A88" s="99">
        <v>7005000</v>
      </c>
      <c r="B88" s="100" t="s">
        <v>122</v>
      </c>
      <c r="C88" s="100" t="s">
        <v>123</v>
      </c>
      <c r="D88" s="101" t="s">
        <v>19</v>
      </c>
      <c r="E88" s="11">
        <v>1</v>
      </c>
      <c r="F88" s="11">
        <f>VLOOKUP(A88,'[1]CORREÇÃO DOS ITENS DIVERGENTES'!$A$13:$G$490,7)</f>
        <v>798.27367549296434</v>
      </c>
      <c r="G88" s="91">
        <f t="shared" si="52"/>
        <v>997.8420943662054</v>
      </c>
      <c r="H88" s="12">
        <f>E88*G88</f>
        <v>997.8420943662054</v>
      </c>
      <c r="I88" s="23">
        <v>1</v>
      </c>
      <c r="J88" s="11">
        <f>F88</f>
        <v>798.27367549296434</v>
      </c>
      <c r="K88" s="10">
        <f t="shared" si="54"/>
        <v>1016.6015257402902</v>
      </c>
      <c r="L88" s="12">
        <f t="shared" si="57"/>
        <v>1016.6015257402902</v>
      </c>
      <c r="M88" s="11">
        <v>0</v>
      </c>
      <c r="N88" s="11">
        <f t="shared" si="55"/>
        <v>798.27367549296434</v>
      </c>
      <c r="O88" s="10">
        <f t="shared" si="56"/>
        <v>1016.6015257402902</v>
      </c>
      <c r="P88" s="12">
        <f t="shared" si="58"/>
        <v>0</v>
      </c>
      <c r="Q88" s="148"/>
      <c r="R88" s="161"/>
      <c r="S88" s="14">
        <f>F88-'[1]CORREÇÃO DOS ITENS DIVERGENTES'!$P79</f>
        <v>0</v>
      </c>
      <c r="T88" s="12">
        <f t="shared" si="51"/>
        <v>997.8420943662054</v>
      </c>
    </row>
    <row r="89" spans="1:22" s="8" customFormat="1" ht="14.25" customHeight="1">
      <c r="A89" s="139">
        <v>8000000</v>
      </c>
      <c r="B89" s="139"/>
      <c r="C89" s="139" t="s">
        <v>124</v>
      </c>
      <c r="D89" s="139"/>
      <c r="E89" s="139"/>
      <c r="F89" s="139"/>
      <c r="G89" s="139"/>
      <c r="H89" s="140">
        <f>SUM(H90:H91)</f>
        <v>1681.47</v>
      </c>
      <c r="I89" s="159"/>
      <c r="J89" s="159"/>
      <c r="K89" s="27"/>
      <c r="L89" s="26">
        <f>SUM(L90:L92)</f>
        <v>6139.6484303987663</v>
      </c>
      <c r="M89" s="159"/>
      <c r="N89" s="159"/>
      <c r="O89" s="16"/>
      <c r="P89" s="17">
        <f>SUM(P90:P92)</f>
        <v>0</v>
      </c>
      <c r="Q89" s="160">
        <f t="shared" ref="Q89:Q141" si="59">L89+P89</f>
        <v>6139.6484303987663</v>
      </c>
      <c r="R89" s="159"/>
      <c r="S89" s="159"/>
      <c r="T89" s="140">
        <f>SUM(T90:T91)</f>
        <v>2101.8375000000005</v>
      </c>
    </row>
    <row r="90" spans="1:22" ht="22.5">
      <c r="A90" s="88">
        <v>8001000</v>
      </c>
      <c r="B90" s="89" t="s">
        <v>125</v>
      </c>
      <c r="C90" s="89" t="s">
        <v>126</v>
      </c>
      <c r="D90" s="90"/>
      <c r="E90" s="91">
        <v>11</v>
      </c>
      <c r="F90" s="35">
        <v>129.83000000000001</v>
      </c>
      <c r="G90" s="91">
        <f t="shared" si="52"/>
        <v>162.28750000000002</v>
      </c>
      <c r="H90" s="12">
        <f t="shared" ref="H90:H91" si="60">E90*F90</f>
        <v>1428.13</v>
      </c>
      <c r="I90" s="22">
        <v>18</v>
      </c>
      <c r="J90" s="11">
        <f>F90</f>
        <v>129.83000000000001</v>
      </c>
      <c r="K90" s="10">
        <f t="shared" ref="K90:K92" si="61">J90*1.2735</f>
        <v>165.33850500000003</v>
      </c>
      <c r="L90" s="12">
        <f>I90*K90</f>
        <v>2976.0930900000003</v>
      </c>
      <c r="M90" s="11">
        <v>0</v>
      </c>
      <c r="N90" s="11">
        <f t="shared" ref="N90:N92" si="62">J90</f>
        <v>129.83000000000001</v>
      </c>
      <c r="O90" s="10">
        <f t="shared" ref="O90:O92" si="63">N90*1.2735</f>
        <v>165.33850500000003</v>
      </c>
      <c r="P90" s="12">
        <f t="shared" si="58"/>
        <v>0</v>
      </c>
      <c r="Q90" s="148"/>
      <c r="R90" s="74"/>
      <c r="S90" s="14">
        <f>F90-'[1]CORREÇÃO DOS ITENS DIVERGENTES'!$P82</f>
        <v>12.058023742271331</v>
      </c>
      <c r="T90" s="12">
        <f t="shared" si="51"/>
        <v>1785.1625000000004</v>
      </c>
    </row>
    <row r="91" spans="1:22">
      <c r="A91" s="88">
        <v>8002000</v>
      </c>
      <c r="B91" s="89">
        <v>36204</v>
      </c>
      <c r="C91" s="89" t="s">
        <v>127</v>
      </c>
      <c r="D91" s="90" t="s">
        <v>19</v>
      </c>
      <c r="E91" s="91">
        <v>2</v>
      </c>
      <c r="F91" s="35">
        <v>126.67</v>
      </c>
      <c r="G91" s="91">
        <f t="shared" si="52"/>
        <v>158.33750000000001</v>
      </c>
      <c r="H91" s="12">
        <f t="shared" si="60"/>
        <v>253.34</v>
      </c>
      <c r="I91" s="22">
        <v>2</v>
      </c>
      <c r="J91" s="11">
        <f>F91</f>
        <v>126.67</v>
      </c>
      <c r="K91" s="10">
        <f t="shared" si="61"/>
        <v>161.314245</v>
      </c>
      <c r="L91" s="12">
        <f t="shared" ref="L91:L92" si="64">I91*K91</f>
        <v>322.62849</v>
      </c>
      <c r="M91" s="11">
        <v>0</v>
      </c>
      <c r="N91" s="11">
        <f t="shared" si="62"/>
        <v>126.67</v>
      </c>
      <c r="O91" s="10">
        <f t="shared" si="63"/>
        <v>161.314245</v>
      </c>
      <c r="P91" s="12">
        <f t="shared" si="58"/>
        <v>0</v>
      </c>
      <c r="Q91" s="148"/>
      <c r="R91" s="74"/>
      <c r="S91" s="14">
        <f>F91-'[1]CORREÇÃO DOS ITENS DIVERGENTES'!$P83</f>
        <v>-19.813219452958961</v>
      </c>
      <c r="T91" s="12">
        <f t="shared" si="51"/>
        <v>316.67500000000001</v>
      </c>
      <c r="V91" s="36"/>
    </row>
    <row r="92" spans="1:22" ht="22.5" hidden="1">
      <c r="A92" s="88">
        <v>8003000</v>
      </c>
      <c r="B92" s="89" t="s">
        <v>128</v>
      </c>
      <c r="C92" s="89" t="s">
        <v>129</v>
      </c>
      <c r="D92" s="90" t="s">
        <v>19</v>
      </c>
      <c r="E92" s="91">
        <v>1</v>
      </c>
      <c r="F92" s="11">
        <f>VLOOKUP(A92,'[1]CORREÇÃO DOS ITENS DIVERGENTES'!$A$13:$G$490,7)</f>
        <v>1115.4011976438028</v>
      </c>
      <c r="G92" s="91">
        <f t="shared" si="52"/>
        <v>1394.2514970547536</v>
      </c>
      <c r="H92" s="12">
        <f>E92*G92</f>
        <v>1394.2514970547536</v>
      </c>
      <c r="I92" s="22">
        <v>2</v>
      </c>
      <c r="J92" s="11">
        <f>F92</f>
        <v>1115.4011976438028</v>
      </c>
      <c r="K92" s="10">
        <f t="shared" si="61"/>
        <v>1420.463425199383</v>
      </c>
      <c r="L92" s="12">
        <f t="shared" si="64"/>
        <v>2840.926850398766</v>
      </c>
      <c r="M92" s="11">
        <v>0</v>
      </c>
      <c r="N92" s="11">
        <f t="shared" si="62"/>
        <v>1115.4011976438028</v>
      </c>
      <c r="O92" s="10">
        <f t="shared" si="63"/>
        <v>1420.463425199383</v>
      </c>
      <c r="P92" s="12">
        <f t="shared" si="58"/>
        <v>0</v>
      </c>
      <c r="Q92" s="148"/>
      <c r="R92" s="74"/>
      <c r="S92" s="14">
        <f>F92-'[1]CORREÇÃO DOS ITENS DIVERGENTES'!$P84</f>
        <v>0</v>
      </c>
      <c r="T92" s="12">
        <f t="shared" si="51"/>
        <v>1394.2514970547536</v>
      </c>
    </row>
    <row r="93" spans="1:22" s="8" customFormat="1" ht="14.25" hidden="1" customHeight="1">
      <c r="A93" s="85">
        <v>9000000</v>
      </c>
      <c r="B93" s="98"/>
      <c r="C93" s="187" t="s">
        <v>130</v>
      </c>
      <c r="D93" s="187"/>
      <c r="E93" s="187"/>
      <c r="F93" s="187"/>
      <c r="G93" s="91">
        <f t="shared" si="52"/>
        <v>0</v>
      </c>
      <c r="H93" s="87">
        <f>SUM(H94:H104)</f>
        <v>66636.92538917331</v>
      </c>
      <c r="I93" s="159"/>
      <c r="J93" s="159"/>
      <c r="K93" s="27"/>
      <c r="L93" s="26">
        <f>SUM(L94:L104)</f>
        <v>60149.76218960352</v>
      </c>
      <c r="M93" s="159"/>
      <c r="N93" s="159"/>
      <c r="O93" s="16"/>
      <c r="P93" s="17">
        <f>SUM(P94:P104)</f>
        <v>-7739.9373968862546</v>
      </c>
      <c r="Q93" s="160">
        <f t="shared" si="59"/>
        <v>52409.824792717263</v>
      </c>
      <c r="R93" s="159"/>
      <c r="S93" s="159"/>
      <c r="T93" s="12">
        <f t="shared" si="51"/>
        <v>0</v>
      </c>
    </row>
    <row r="94" spans="1:22" ht="22.5" hidden="1">
      <c r="A94" s="88">
        <v>9001000</v>
      </c>
      <c r="B94" s="89" t="s">
        <v>131</v>
      </c>
      <c r="C94" s="89" t="s">
        <v>132</v>
      </c>
      <c r="D94" s="90" t="s">
        <v>22</v>
      </c>
      <c r="E94" s="91">
        <v>49.76</v>
      </c>
      <c r="F94" s="11">
        <f>VLOOKUP(A94,'[1]CORREÇÃO DOS ITENS DIVERGENTES'!$A$13:$G$490,7)</f>
        <v>370.73603431394366</v>
      </c>
      <c r="G94" s="91">
        <f t="shared" si="52"/>
        <v>463.42004289242959</v>
      </c>
      <c r="H94" s="12">
        <f t="shared" ref="H94:H104" si="65">E94*G94</f>
        <v>23059.781334327297</v>
      </c>
      <c r="I94" s="22">
        <v>49.76</v>
      </c>
      <c r="J94" s="11">
        <f t="shared" ref="J94:J104" si="66">F94</f>
        <v>370.73603431394366</v>
      </c>
      <c r="K94" s="10">
        <f t="shared" ref="K94:K104" si="67">J94*1.2735</f>
        <v>472.1323396988073</v>
      </c>
      <c r="L94" s="12">
        <f>I94*K94</f>
        <v>23493.305223412652</v>
      </c>
      <c r="M94" s="11">
        <v>0</v>
      </c>
      <c r="N94" s="11">
        <f t="shared" ref="N94:N104" si="68">J94</f>
        <v>370.73603431394366</v>
      </c>
      <c r="O94" s="10">
        <f t="shared" ref="O94:O104" si="69">N94*1.2735</f>
        <v>472.1323396988073</v>
      </c>
      <c r="P94" s="12">
        <f t="shared" si="58"/>
        <v>0</v>
      </c>
      <c r="Q94" s="148"/>
      <c r="R94" s="74"/>
      <c r="S94" s="14">
        <f>F94-'[1]CORREÇÃO DOS ITENS DIVERGENTES'!$P86</f>
        <v>0</v>
      </c>
      <c r="T94" s="12">
        <f t="shared" si="51"/>
        <v>23059.781334327297</v>
      </c>
    </row>
    <row r="95" spans="1:22" ht="22.5" hidden="1">
      <c r="A95" s="88">
        <v>9002000</v>
      </c>
      <c r="B95" s="89" t="s">
        <v>133</v>
      </c>
      <c r="C95" s="89" t="s">
        <v>134</v>
      </c>
      <c r="D95" s="90" t="s">
        <v>22</v>
      </c>
      <c r="E95" s="91">
        <v>14.43</v>
      </c>
      <c r="F95" s="11">
        <f>VLOOKUP(A95,'[1]CORREÇÃO DOS ITENS DIVERGENTES'!$A$13:$G$490,7)</f>
        <v>345.60815295092618</v>
      </c>
      <c r="G95" s="91">
        <f t="shared" si="52"/>
        <v>432.0101911886577</v>
      </c>
      <c r="H95" s="12">
        <f t="shared" si="65"/>
        <v>6233.9070588523309</v>
      </c>
      <c r="I95" s="22">
        <v>14.43</v>
      </c>
      <c r="J95" s="11">
        <f t="shared" si="66"/>
        <v>345.60815295092618</v>
      </c>
      <c r="K95" s="10">
        <f t="shared" si="67"/>
        <v>440.1319827830045</v>
      </c>
      <c r="L95" s="12">
        <f t="shared" ref="L95:L104" si="70">I95*K95</f>
        <v>6351.1045115587549</v>
      </c>
      <c r="M95" s="11">
        <v>0</v>
      </c>
      <c r="N95" s="11">
        <f t="shared" si="68"/>
        <v>345.60815295092618</v>
      </c>
      <c r="O95" s="10">
        <f t="shared" si="69"/>
        <v>440.1319827830045</v>
      </c>
      <c r="P95" s="12">
        <f t="shared" si="58"/>
        <v>0</v>
      </c>
      <c r="Q95" s="148"/>
      <c r="R95" s="74"/>
      <c r="S95" s="14">
        <f>F95-'[1]CORREÇÃO DOS ITENS DIVERGENTES'!$P87</f>
        <v>0</v>
      </c>
      <c r="T95" s="12">
        <f t="shared" si="51"/>
        <v>6233.9070588523309</v>
      </c>
    </row>
    <row r="96" spans="1:22" ht="22.5" hidden="1">
      <c r="A96" s="88">
        <v>9003000</v>
      </c>
      <c r="B96" s="89" t="s">
        <v>135</v>
      </c>
      <c r="C96" s="89" t="s">
        <v>136</v>
      </c>
      <c r="D96" s="90" t="s">
        <v>22</v>
      </c>
      <c r="E96" s="91">
        <v>15.2</v>
      </c>
      <c r="F96" s="11">
        <f>VLOOKUP(A96,'[1]CORREÇÃO DOS ITENS DIVERGENTES'!$A$13:$G$490,7)</f>
        <v>345.60815295092618</v>
      </c>
      <c r="G96" s="91">
        <f t="shared" si="52"/>
        <v>432.0101911886577</v>
      </c>
      <c r="H96" s="12">
        <f t="shared" si="65"/>
        <v>6566.5549060675967</v>
      </c>
      <c r="I96" s="22">
        <v>15.2</v>
      </c>
      <c r="J96" s="11">
        <f t="shared" si="66"/>
        <v>345.60815295092618</v>
      </c>
      <c r="K96" s="10">
        <f t="shared" si="67"/>
        <v>440.1319827830045</v>
      </c>
      <c r="L96" s="12">
        <f t="shared" si="70"/>
        <v>6690.0061383016682</v>
      </c>
      <c r="M96" s="11">
        <v>0</v>
      </c>
      <c r="N96" s="11">
        <f t="shared" si="68"/>
        <v>345.60815295092618</v>
      </c>
      <c r="O96" s="10">
        <f t="shared" si="69"/>
        <v>440.1319827830045</v>
      </c>
      <c r="P96" s="12">
        <f t="shared" si="58"/>
        <v>0</v>
      </c>
      <c r="Q96" s="148"/>
      <c r="R96" s="74"/>
      <c r="S96" s="14">
        <f>F96-'[1]CORREÇÃO DOS ITENS DIVERGENTES'!$P88</f>
        <v>0</v>
      </c>
      <c r="T96" s="12">
        <f t="shared" si="51"/>
        <v>6566.5549060675967</v>
      </c>
    </row>
    <row r="97" spans="1:20" ht="22.5" hidden="1">
      <c r="A97" s="88">
        <v>9004000</v>
      </c>
      <c r="B97" s="89" t="s">
        <v>137</v>
      </c>
      <c r="C97" s="89" t="s">
        <v>138</v>
      </c>
      <c r="D97" s="90" t="s">
        <v>22</v>
      </c>
      <c r="E97" s="91">
        <v>17.27</v>
      </c>
      <c r="F97" s="11">
        <f>VLOOKUP(A97,'[1]CORREÇÃO DOS ITENS DIVERGENTES'!$A$13:$G$490,7)</f>
        <v>345.60815295092618</v>
      </c>
      <c r="G97" s="91">
        <f t="shared" si="52"/>
        <v>432.0101911886577</v>
      </c>
      <c r="H97" s="12">
        <f t="shared" si="65"/>
        <v>7460.8160018281187</v>
      </c>
      <c r="I97" s="22">
        <v>17.27</v>
      </c>
      <c r="J97" s="11">
        <f t="shared" si="66"/>
        <v>345.60815295092618</v>
      </c>
      <c r="K97" s="10">
        <f t="shared" si="67"/>
        <v>440.1319827830045</v>
      </c>
      <c r="L97" s="12">
        <f t="shared" si="70"/>
        <v>7601.0793426624878</v>
      </c>
      <c r="M97" s="11">
        <v>0</v>
      </c>
      <c r="N97" s="11">
        <f t="shared" si="68"/>
        <v>345.60815295092618</v>
      </c>
      <c r="O97" s="10">
        <f t="shared" si="69"/>
        <v>440.1319827830045</v>
      </c>
      <c r="P97" s="12">
        <f t="shared" si="58"/>
        <v>0</v>
      </c>
      <c r="Q97" s="148"/>
      <c r="R97" s="74"/>
      <c r="S97" s="14">
        <f>F97-'[1]CORREÇÃO DOS ITENS DIVERGENTES'!$P89</f>
        <v>0</v>
      </c>
      <c r="T97" s="12">
        <f t="shared" si="51"/>
        <v>7460.8160018281187</v>
      </c>
    </row>
    <row r="98" spans="1:20" ht="22.5" hidden="1">
      <c r="A98" s="88">
        <v>9005000</v>
      </c>
      <c r="B98" s="89" t="s">
        <v>139</v>
      </c>
      <c r="C98" s="89" t="s">
        <v>140</v>
      </c>
      <c r="D98" s="90" t="s">
        <v>22</v>
      </c>
      <c r="E98" s="91">
        <v>17.27</v>
      </c>
      <c r="F98" s="11">
        <f>VLOOKUP(A98,'[1]CORREÇÃO DOS ITENS DIVERGENTES'!$A$13:$G$490,7)</f>
        <v>345.60815295092618</v>
      </c>
      <c r="G98" s="91">
        <f t="shared" si="52"/>
        <v>432.0101911886577</v>
      </c>
      <c r="H98" s="12">
        <f t="shared" si="65"/>
        <v>7460.8160018281187</v>
      </c>
      <c r="I98" s="22">
        <v>2.84</v>
      </c>
      <c r="J98" s="11">
        <f t="shared" si="66"/>
        <v>345.60815295092618</v>
      </c>
      <c r="K98" s="10">
        <f t="shared" si="67"/>
        <v>440.1319827830045</v>
      </c>
      <c r="L98" s="12">
        <f t="shared" si="70"/>
        <v>1249.9748311037326</v>
      </c>
      <c r="M98" s="11">
        <f>I98-E98</f>
        <v>-14.43</v>
      </c>
      <c r="N98" s="11">
        <f t="shared" si="68"/>
        <v>345.60815295092618</v>
      </c>
      <c r="O98" s="10">
        <f t="shared" si="69"/>
        <v>440.1319827830045</v>
      </c>
      <c r="P98" s="12">
        <f t="shared" si="58"/>
        <v>-6351.1045115587549</v>
      </c>
      <c r="Q98" s="148"/>
      <c r="R98" s="74"/>
      <c r="S98" s="14">
        <f>F98-'[1]CORREÇÃO DOS ITENS DIVERGENTES'!$P90</f>
        <v>0</v>
      </c>
      <c r="T98" s="12">
        <f t="shared" si="51"/>
        <v>7460.8160018281187</v>
      </c>
    </row>
    <row r="99" spans="1:20" ht="22.5" hidden="1">
      <c r="A99" s="88">
        <v>9006000</v>
      </c>
      <c r="B99" s="89" t="s">
        <v>141</v>
      </c>
      <c r="C99" s="89" t="s">
        <v>142</v>
      </c>
      <c r="D99" s="90" t="s">
        <v>22</v>
      </c>
      <c r="E99" s="91">
        <v>16.940000000000001</v>
      </c>
      <c r="F99" s="11">
        <f>VLOOKUP(A99,'[1]CORREÇÃO DOS ITENS DIVERGENTES'!$A$13:$G$490,7)</f>
        <v>372.50997581503913</v>
      </c>
      <c r="G99" s="91">
        <f t="shared" si="52"/>
        <v>465.63746976879889</v>
      </c>
      <c r="H99" s="12">
        <f t="shared" si="65"/>
        <v>7887.8987378834536</v>
      </c>
      <c r="I99" s="22">
        <v>16.940000000000001</v>
      </c>
      <c r="J99" s="11">
        <f t="shared" si="66"/>
        <v>372.50997581503913</v>
      </c>
      <c r="K99" s="10">
        <f t="shared" si="67"/>
        <v>474.39145420045236</v>
      </c>
      <c r="L99" s="12">
        <f t="shared" si="70"/>
        <v>8036.1912341556636</v>
      </c>
      <c r="M99" s="11">
        <v>0</v>
      </c>
      <c r="N99" s="11">
        <f t="shared" si="68"/>
        <v>372.50997581503913</v>
      </c>
      <c r="O99" s="10">
        <f t="shared" si="69"/>
        <v>474.39145420045236</v>
      </c>
      <c r="P99" s="12">
        <f t="shared" si="58"/>
        <v>0</v>
      </c>
      <c r="Q99" s="148"/>
      <c r="R99" s="74"/>
      <c r="S99" s="14">
        <f>F99-'[1]CORREÇÃO DOS ITENS DIVERGENTES'!$P91</f>
        <v>0</v>
      </c>
      <c r="T99" s="12">
        <f t="shared" si="51"/>
        <v>7887.8987378834536</v>
      </c>
    </row>
    <row r="100" spans="1:20" ht="22.5" hidden="1">
      <c r="A100" s="88">
        <v>9007000</v>
      </c>
      <c r="B100" s="89" t="s">
        <v>143</v>
      </c>
      <c r="C100" s="89" t="s">
        <v>144</v>
      </c>
      <c r="D100" s="90" t="s">
        <v>22</v>
      </c>
      <c r="E100" s="91">
        <v>7.79</v>
      </c>
      <c r="F100" s="11">
        <f>VLOOKUP(A100,'[1]CORREÇÃO DOS ITENS DIVERGENTES'!$A$13:$G$490,7)</f>
        <v>372.50997581503913</v>
      </c>
      <c r="G100" s="91">
        <f t="shared" si="52"/>
        <v>465.63746976879889</v>
      </c>
      <c r="H100" s="12">
        <f t="shared" si="65"/>
        <v>3627.3158894989433</v>
      </c>
      <c r="I100" s="22">
        <v>7.79</v>
      </c>
      <c r="J100" s="11">
        <f t="shared" si="66"/>
        <v>372.50997581503913</v>
      </c>
      <c r="K100" s="10">
        <f t="shared" si="67"/>
        <v>474.39145420045236</v>
      </c>
      <c r="L100" s="12">
        <f t="shared" si="70"/>
        <v>3695.5094282215241</v>
      </c>
      <c r="M100" s="11">
        <v>0</v>
      </c>
      <c r="N100" s="11">
        <f t="shared" si="68"/>
        <v>372.50997581503913</v>
      </c>
      <c r="O100" s="10">
        <f t="shared" si="69"/>
        <v>474.39145420045236</v>
      </c>
      <c r="P100" s="12">
        <f t="shared" si="58"/>
        <v>0</v>
      </c>
      <c r="Q100" s="148"/>
      <c r="R100" s="74"/>
      <c r="S100" s="14">
        <f>F100-'[1]CORREÇÃO DOS ITENS DIVERGENTES'!$P92</f>
        <v>0</v>
      </c>
      <c r="T100" s="12">
        <f t="shared" si="51"/>
        <v>3627.3158894989433</v>
      </c>
    </row>
    <row r="101" spans="1:20" ht="22.5" hidden="1">
      <c r="A101" s="88">
        <v>9008000</v>
      </c>
      <c r="B101" s="89" t="s">
        <v>145</v>
      </c>
      <c r="C101" s="89" t="s">
        <v>146</v>
      </c>
      <c r="D101" s="90" t="s">
        <v>22</v>
      </c>
      <c r="E101" s="91">
        <v>0.72</v>
      </c>
      <c r="F101" s="11">
        <f>VLOOKUP(A101,'[1]CORREÇÃO DOS ITENS DIVERGENTES'!$A$13:$G$490,7)</f>
        <v>372.50997581503913</v>
      </c>
      <c r="G101" s="91">
        <f t="shared" si="52"/>
        <v>465.63746976879889</v>
      </c>
      <c r="H101" s="12">
        <f t="shared" si="65"/>
        <v>335.25897823353517</v>
      </c>
      <c r="I101" s="22">
        <f>0.72+M101</f>
        <v>1.44</v>
      </c>
      <c r="J101" s="11">
        <f t="shared" si="66"/>
        <v>372.50997581503913</v>
      </c>
      <c r="K101" s="10">
        <f t="shared" si="67"/>
        <v>474.39145420045236</v>
      </c>
      <c r="L101" s="12">
        <f t="shared" si="70"/>
        <v>683.12369404865137</v>
      </c>
      <c r="M101" s="11">
        <v>0.72</v>
      </c>
      <c r="N101" s="11">
        <f t="shared" si="68"/>
        <v>372.50997581503913</v>
      </c>
      <c r="O101" s="10">
        <f t="shared" si="69"/>
        <v>474.39145420045236</v>
      </c>
      <c r="P101" s="12">
        <f t="shared" si="58"/>
        <v>341.56184702432569</v>
      </c>
      <c r="Q101" s="148"/>
      <c r="R101" s="74"/>
      <c r="S101" s="14">
        <f>F101-'[1]CORREÇÃO DOS ITENS DIVERGENTES'!$P93</f>
        <v>0</v>
      </c>
      <c r="T101" s="12">
        <f t="shared" si="51"/>
        <v>335.25897823353517</v>
      </c>
    </row>
    <row r="102" spans="1:20" s="28" customFormat="1" ht="22.5" hidden="1">
      <c r="A102" s="108">
        <v>9009000</v>
      </c>
      <c r="B102" s="100" t="s">
        <v>147</v>
      </c>
      <c r="C102" s="100" t="s">
        <v>148</v>
      </c>
      <c r="D102" s="101" t="s">
        <v>22</v>
      </c>
      <c r="E102" s="11">
        <v>3.84</v>
      </c>
      <c r="F102" s="11">
        <f>VLOOKUP(A102,'[1]CORREÇÃO DOS ITENS DIVERGENTES'!$A$13:$G$490,7)</f>
        <v>372.50997581503913</v>
      </c>
      <c r="G102" s="91">
        <f t="shared" si="52"/>
        <v>465.63746976879889</v>
      </c>
      <c r="H102" s="12">
        <f t="shared" si="65"/>
        <v>1788.0478839121877</v>
      </c>
      <c r="I102" s="23">
        <v>0</v>
      </c>
      <c r="J102" s="11">
        <f t="shared" si="66"/>
        <v>372.50997581503913</v>
      </c>
      <c r="K102" s="10">
        <f t="shared" si="67"/>
        <v>474.39145420045236</v>
      </c>
      <c r="L102" s="12">
        <f t="shared" si="70"/>
        <v>0</v>
      </c>
      <c r="M102" s="11">
        <f>I102-E102</f>
        <v>-3.84</v>
      </c>
      <c r="N102" s="11">
        <f t="shared" si="68"/>
        <v>372.50997581503913</v>
      </c>
      <c r="O102" s="10">
        <f t="shared" si="69"/>
        <v>474.39145420045236</v>
      </c>
      <c r="P102" s="12">
        <f t="shared" si="58"/>
        <v>-1821.6631841297369</v>
      </c>
      <c r="Q102" s="148"/>
      <c r="R102" s="161"/>
      <c r="S102" s="14">
        <f>F102-'[1]CORREÇÃO DOS ITENS DIVERGENTES'!$P94</f>
        <v>0</v>
      </c>
      <c r="T102" s="12">
        <f t="shared" si="51"/>
        <v>1788.0478839121877</v>
      </c>
    </row>
    <row r="103" spans="1:20" ht="22.5" hidden="1">
      <c r="A103" s="88">
        <v>9010000</v>
      </c>
      <c r="B103" s="89" t="s">
        <v>149</v>
      </c>
      <c r="C103" s="89" t="s">
        <v>150</v>
      </c>
      <c r="D103" s="90" t="s">
        <v>22</v>
      </c>
      <c r="E103" s="91">
        <v>3.78</v>
      </c>
      <c r="F103" s="11">
        <f>VLOOKUP(A103,'[1]CORREÇÃO DOS ITENS DIVERGENTES'!$A$13:$G$490,7)</f>
        <v>398.15230021337419</v>
      </c>
      <c r="G103" s="91">
        <f t="shared" si="52"/>
        <v>497.69037526671775</v>
      </c>
      <c r="H103" s="12">
        <f t="shared" si="65"/>
        <v>1881.2696185081929</v>
      </c>
      <c r="I103" s="22">
        <f>3.78+M103</f>
        <v>3.96</v>
      </c>
      <c r="J103" s="11">
        <f t="shared" si="66"/>
        <v>398.15230021337419</v>
      </c>
      <c r="K103" s="10">
        <f t="shared" si="67"/>
        <v>507.04695432173207</v>
      </c>
      <c r="L103" s="12">
        <f t="shared" si="70"/>
        <v>2007.905939114059</v>
      </c>
      <c r="M103" s="11">
        <f>3.96-3.78</f>
        <v>0.18000000000000016</v>
      </c>
      <c r="N103" s="11">
        <f t="shared" si="68"/>
        <v>398.15230021337419</v>
      </c>
      <c r="O103" s="10">
        <f t="shared" si="69"/>
        <v>507.04695432173207</v>
      </c>
      <c r="P103" s="12">
        <f t="shared" si="58"/>
        <v>91.268451777911849</v>
      </c>
      <c r="Q103" s="148"/>
      <c r="R103" s="74"/>
      <c r="S103" s="14">
        <f>F103-'[1]CORREÇÃO DOS ITENS DIVERGENTES'!$P95</f>
        <v>0</v>
      </c>
      <c r="T103" s="12">
        <f t="shared" si="51"/>
        <v>1881.2696185081929</v>
      </c>
    </row>
    <row r="104" spans="1:20" ht="22.5" hidden="1">
      <c r="A104" s="88">
        <v>9011000</v>
      </c>
      <c r="B104" s="89" t="s">
        <v>145</v>
      </c>
      <c r="C104" s="89" t="s">
        <v>151</v>
      </c>
      <c r="D104" s="90" t="s">
        <v>22</v>
      </c>
      <c r="E104" s="91">
        <v>0.72</v>
      </c>
      <c r="F104" s="11">
        <f>VLOOKUP(A104,'[1]CORREÇÃO DOS ITENS DIVERGENTES'!$A$13:$G$490,7)</f>
        <v>372.50997581503913</v>
      </c>
      <c r="G104" s="91">
        <f t="shared" si="52"/>
        <v>465.63746976879889</v>
      </c>
      <c r="H104" s="12">
        <f t="shared" si="65"/>
        <v>335.25897823353517</v>
      </c>
      <c r="I104" s="22">
        <v>0.72</v>
      </c>
      <c r="J104" s="11">
        <f t="shared" si="66"/>
        <v>372.50997581503913</v>
      </c>
      <c r="K104" s="10">
        <f t="shared" si="67"/>
        <v>474.39145420045236</v>
      </c>
      <c r="L104" s="12">
        <f t="shared" si="70"/>
        <v>341.56184702432569</v>
      </c>
      <c r="M104" s="11">
        <v>0</v>
      </c>
      <c r="N104" s="11">
        <f t="shared" si="68"/>
        <v>372.50997581503913</v>
      </c>
      <c r="O104" s="10">
        <f t="shared" si="69"/>
        <v>474.39145420045236</v>
      </c>
      <c r="P104" s="12">
        <f t="shared" si="58"/>
        <v>0</v>
      </c>
      <c r="Q104" s="148"/>
      <c r="R104" s="74"/>
      <c r="S104" s="14">
        <f>F104-'[1]CORREÇÃO DOS ITENS DIVERGENTES'!$P96</f>
        <v>0</v>
      </c>
      <c r="T104" s="12">
        <f t="shared" si="51"/>
        <v>335.25897823353517</v>
      </c>
    </row>
    <row r="105" spans="1:20" s="8" customFormat="1" ht="14.25" hidden="1" customHeight="1">
      <c r="A105" s="85">
        <v>10000000</v>
      </c>
      <c r="B105" s="98"/>
      <c r="C105" s="187" t="s">
        <v>152</v>
      </c>
      <c r="D105" s="187"/>
      <c r="E105" s="187"/>
      <c r="F105" s="187"/>
      <c r="G105" s="91">
        <f t="shared" si="52"/>
        <v>0</v>
      </c>
      <c r="H105" s="87">
        <f>SUM(H106:H107)</f>
        <v>15498.117534261302</v>
      </c>
      <c r="I105" s="159"/>
      <c r="J105" s="159"/>
      <c r="K105" s="27"/>
      <c r="L105" s="26">
        <f>SUM(L106:L107)</f>
        <v>15789.482143905414</v>
      </c>
      <c r="M105" s="159"/>
      <c r="N105" s="159"/>
      <c r="O105" s="16"/>
      <c r="P105" s="17">
        <f>SUM(P106:P107)</f>
        <v>0</v>
      </c>
      <c r="Q105" s="160">
        <f t="shared" si="59"/>
        <v>15789.482143905414</v>
      </c>
      <c r="R105" s="159"/>
      <c r="S105" s="159"/>
      <c r="T105" s="12">
        <f t="shared" si="51"/>
        <v>0</v>
      </c>
    </row>
    <row r="106" spans="1:20" ht="27.75" hidden="1" customHeight="1">
      <c r="A106" s="88">
        <v>10002000</v>
      </c>
      <c r="B106" s="116" t="s">
        <v>153</v>
      </c>
      <c r="C106" s="89" t="s">
        <v>154</v>
      </c>
      <c r="D106" s="90" t="s">
        <v>19</v>
      </c>
      <c r="E106" s="91">
        <v>1</v>
      </c>
      <c r="F106" s="11">
        <f>VLOOKUP(A106,'[1]CORREÇÃO DOS ITENS DIVERGENTES'!$A$13:$G$490,7)</f>
        <v>6199.242578850768</v>
      </c>
      <c r="G106" s="91">
        <f t="shared" si="52"/>
        <v>7749.0532235634601</v>
      </c>
      <c r="H106" s="12">
        <f>E106*G106</f>
        <v>7749.0532235634601</v>
      </c>
      <c r="I106" s="22">
        <v>1</v>
      </c>
      <c r="J106" s="11">
        <f>F106</f>
        <v>6199.242578850768</v>
      </c>
      <c r="K106" s="10">
        <f t="shared" ref="K106:K107" si="71">J106*1.2735</f>
        <v>7894.7354241664534</v>
      </c>
      <c r="L106" s="12">
        <f>I106*K106</f>
        <v>7894.7354241664534</v>
      </c>
      <c r="M106" s="11">
        <v>0</v>
      </c>
      <c r="N106" s="11">
        <f t="shared" ref="N106:N107" si="72">J106</f>
        <v>6199.242578850768</v>
      </c>
      <c r="O106" s="10">
        <f t="shared" ref="O106:O107" si="73">N106*1.2735</f>
        <v>7894.7354241664534</v>
      </c>
      <c r="P106" s="12">
        <f t="shared" si="58"/>
        <v>0</v>
      </c>
      <c r="Q106" s="148"/>
      <c r="R106" s="74"/>
      <c r="S106" s="14">
        <f>F106-'[1]CORREÇÃO DOS ITENS DIVERGENTES'!$P98</f>
        <v>0</v>
      </c>
      <c r="T106" s="12">
        <f t="shared" si="51"/>
        <v>7749.0532235634601</v>
      </c>
    </row>
    <row r="107" spans="1:20" ht="29.25" hidden="1" customHeight="1">
      <c r="A107" s="88">
        <v>10003000</v>
      </c>
      <c r="B107" s="116" t="s">
        <v>155</v>
      </c>
      <c r="C107" s="89" t="s">
        <v>156</v>
      </c>
      <c r="D107" s="90" t="s">
        <v>19</v>
      </c>
      <c r="E107" s="91">
        <v>2</v>
      </c>
      <c r="F107" s="11">
        <f>VLOOKUP(A107,'[1]CORREÇÃO DOS ITENS DIVERGENTES'!$A$13:$G$490,7)</f>
        <v>3099.6257242791366</v>
      </c>
      <c r="G107" s="91">
        <f t="shared" si="52"/>
        <v>3874.5321553489207</v>
      </c>
      <c r="H107" s="12">
        <f>E107*G107</f>
        <v>7749.0643106978414</v>
      </c>
      <c r="I107" s="22">
        <v>2</v>
      </c>
      <c r="J107" s="11">
        <f>F107</f>
        <v>3099.6257242791366</v>
      </c>
      <c r="K107" s="10">
        <f t="shared" si="71"/>
        <v>3947.3733598694807</v>
      </c>
      <c r="L107" s="12">
        <f>I107*K107</f>
        <v>7894.7467197389615</v>
      </c>
      <c r="M107" s="11">
        <v>0</v>
      </c>
      <c r="N107" s="11">
        <f t="shared" si="72"/>
        <v>3099.6257242791366</v>
      </c>
      <c r="O107" s="10">
        <f t="shared" si="73"/>
        <v>3947.3733598694807</v>
      </c>
      <c r="P107" s="12">
        <f t="shared" si="58"/>
        <v>0</v>
      </c>
      <c r="Q107" s="148"/>
      <c r="R107" s="74"/>
      <c r="S107" s="14">
        <f>F107-'[1]CORREÇÃO DOS ITENS DIVERGENTES'!$P99</f>
        <v>0</v>
      </c>
      <c r="T107" s="12">
        <f t="shared" si="51"/>
        <v>7749.0643106978414</v>
      </c>
    </row>
    <row r="108" spans="1:20" s="8" customFormat="1" ht="14.25" customHeight="1">
      <c r="A108" s="139">
        <v>9000000</v>
      </c>
      <c r="B108" s="139"/>
      <c r="C108" s="139" t="s">
        <v>130</v>
      </c>
      <c r="D108" s="139"/>
      <c r="E108" s="139"/>
      <c r="F108" s="139"/>
      <c r="G108" s="139"/>
      <c r="H108" s="140">
        <f>SUM(H109:H116)</f>
        <v>59460.390899999991</v>
      </c>
      <c r="I108" s="159"/>
      <c r="J108" s="159"/>
      <c r="K108" s="27"/>
      <c r="L108" s="26">
        <f>SUM(L109:L116)</f>
        <v>88167.42790694999</v>
      </c>
      <c r="M108" s="159"/>
      <c r="N108" s="159"/>
      <c r="O108" s="16"/>
      <c r="P108" s="17">
        <f>SUM(P109:P116)</f>
        <v>668.23983450000014</v>
      </c>
      <c r="Q108" s="160">
        <f t="shared" ref="Q108" si="74">L108+P108</f>
        <v>88835.667741449986</v>
      </c>
      <c r="R108" s="159"/>
      <c r="S108" s="159"/>
      <c r="T108" s="140">
        <f>SUM(T109:T116)</f>
        <v>74325.488624999998</v>
      </c>
    </row>
    <row r="109" spans="1:20" ht="22.5">
      <c r="A109" s="88">
        <v>9001000</v>
      </c>
      <c r="B109" s="89" t="s">
        <v>157</v>
      </c>
      <c r="C109" s="89" t="s">
        <v>158</v>
      </c>
      <c r="D109" s="90" t="s">
        <v>22</v>
      </c>
      <c r="E109" s="91">
        <f>7.54*2.2*2</f>
        <v>33.176000000000002</v>
      </c>
      <c r="F109" s="35">
        <v>583.03</v>
      </c>
      <c r="G109" s="91">
        <f t="shared" si="52"/>
        <v>728.78749999999991</v>
      </c>
      <c r="H109" s="12">
        <f t="shared" ref="H109:H116" si="75">E109*F109</f>
        <v>19342.603279999999</v>
      </c>
      <c r="I109" s="22">
        <v>49.76</v>
      </c>
      <c r="J109" s="11">
        <f t="shared" ref="J109:J116" si="76">F109</f>
        <v>583.03</v>
      </c>
      <c r="K109" s="10">
        <f t="shared" ref="K109:K116" si="77">J109*1.2735</f>
        <v>742.48870499999998</v>
      </c>
      <c r="L109" s="12">
        <f>I109*K109</f>
        <v>36946.237960799997</v>
      </c>
      <c r="M109" s="11">
        <v>0</v>
      </c>
      <c r="N109" s="11">
        <f t="shared" ref="N109:N116" si="78">J109</f>
        <v>583.03</v>
      </c>
      <c r="O109" s="10">
        <f t="shared" ref="O109:O116" si="79">N109*1.2735</f>
        <v>742.48870499999998</v>
      </c>
      <c r="P109" s="12">
        <f t="shared" ref="P109:P116" si="80">M109*O109</f>
        <v>0</v>
      </c>
      <c r="Q109" s="148"/>
      <c r="R109" s="74"/>
      <c r="S109" s="14">
        <f>F109-'[1]CORREÇÃO DOS ITENS DIVERGENTES'!$P104</f>
        <v>552.8020368213331</v>
      </c>
      <c r="T109" s="12">
        <f t="shared" si="51"/>
        <v>24178.254099999998</v>
      </c>
    </row>
    <row r="110" spans="1:20" ht="22.5">
      <c r="A110" s="88">
        <v>9002000</v>
      </c>
      <c r="B110" s="89" t="s">
        <v>159</v>
      </c>
      <c r="C110" s="89" t="s">
        <v>134</v>
      </c>
      <c r="D110" s="90" t="s">
        <v>22</v>
      </c>
      <c r="E110" s="91">
        <f>6.56*2.2</f>
        <v>14.432</v>
      </c>
      <c r="F110" s="35">
        <v>483.03</v>
      </c>
      <c r="G110" s="91">
        <f t="shared" si="52"/>
        <v>603.78749999999991</v>
      </c>
      <c r="H110" s="12">
        <f t="shared" si="75"/>
        <v>6971.08896</v>
      </c>
      <c r="I110" s="22">
        <v>14.43</v>
      </c>
      <c r="J110" s="11">
        <f t="shared" si="76"/>
        <v>483.03</v>
      </c>
      <c r="K110" s="10">
        <f t="shared" si="77"/>
        <v>615.13870499999996</v>
      </c>
      <c r="L110" s="12">
        <f t="shared" ref="L110:L116" si="81">I110*K110</f>
        <v>8876.4515131499993</v>
      </c>
      <c r="M110" s="11">
        <v>0</v>
      </c>
      <c r="N110" s="11">
        <f t="shared" si="78"/>
        <v>483.03</v>
      </c>
      <c r="O110" s="10">
        <f t="shared" si="79"/>
        <v>615.13870499999996</v>
      </c>
      <c r="P110" s="12">
        <f t="shared" si="80"/>
        <v>0</v>
      </c>
      <c r="Q110" s="148"/>
      <c r="R110" s="74"/>
      <c r="S110" s="14">
        <f>F110-'[1]CORREÇÃO DOS ITENS DIVERGENTES'!$P105</f>
        <v>458.1948189846633</v>
      </c>
      <c r="T110" s="12">
        <f t="shared" si="51"/>
        <v>8713.8611999999994</v>
      </c>
    </row>
    <row r="111" spans="1:20" ht="22.5">
      <c r="A111" s="88">
        <v>9003000</v>
      </c>
      <c r="B111" s="89" t="str">
        <f>B110</f>
        <v>SER-JAN-030</v>
      </c>
      <c r="C111" s="89" t="s">
        <v>136</v>
      </c>
      <c r="D111" s="90" t="s">
        <v>22</v>
      </c>
      <c r="E111" s="91">
        <f>6.91*2.2</f>
        <v>15.202000000000002</v>
      </c>
      <c r="F111" s="35">
        <f>F110</f>
        <v>483.03</v>
      </c>
      <c r="G111" s="91">
        <f t="shared" si="52"/>
        <v>603.78749999999991</v>
      </c>
      <c r="H111" s="12">
        <f t="shared" si="75"/>
        <v>7343.0220600000002</v>
      </c>
      <c r="I111" s="22">
        <v>15.2</v>
      </c>
      <c r="J111" s="11">
        <f t="shared" si="76"/>
        <v>483.03</v>
      </c>
      <c r="K111" s="10">
        <f t="shared" si="77"/>
        <v>615.13870499999996</v>
      </c>
      <c r="L111" s="12">
        <f t="shared" si="81"/>
        <v>9350.1083159999998</v>
      </c>
      <c r="M111" s="11">
        <v>0</v>
      </c>
      <c r="N111" s="11">
        <f t="shared" si="78"/>
        <v>483.03</v>
      </c>
      <c r="O111" s="10">
        <f t="shared" si="79"/>
        <v>615.13870499999996</v>
      </c>
      <c r="P111" s="12">
        <f t="shared" si="80"/>
        <v>0</v>
      </c>
      <c r="Q111" s="148"/>
      <c r="R111" s="74"/>
      <c r="S111" s="14">
        <f>F111-'[1]CORREÇÃO DOS ITENS DIVERGENTES'!$P106</f>
        <v>433.41285621435952</v>
      </c>
      <c r="T111" s="12">
        <f t="shared" si="51"/>
        <v>9178.7775750000001</v>
      </c>
    </row>
    <row r="112" spans="1:20" ht="22.5">
      <c r="A112" s="88">
        <v>9004000</v>
      </c>
      <c r="B112" s="89" t="str">
        <f>B111</f>
        <v>SER-JAN-030</v>
      </c>
      <c r="C112" s="89" t="s">
        <v>138</v>
      </c>
      <c r="D112" s="90" t="s">
        <v>22</v>
      </c>
      <c r="E112" s="91">
        <f>7.85*2.2</f>
        <v>17.27</v>
      </c>
      <c r="F112" s="35">
        <f>F111</f>
        <v>483.03</v>
      </c>
      <c r="G112" s="91">
        <f t="shared" si="52"/>
        <v>603.78749999999991</v>
      </c>
      <c r="H112" s="12">
        <f t="shared" si="75"/>
        <v>8341.9280999999992</v>
      </c>
      <c r="I112" s="22">
        <v>17.27</v>
      </c>
      <c r="J112" s="11">
        <f t="shared" si="76"/>
        <v>483.03</v>
      </c>
      <c r="K112" s="10">
        <f t="shared" si="77"/>
        <v>615.13870499999996</v>
      </c>
      <c r="L112" s="12">
        <f t="shared" si="81"/>
        <v>10623.445435349999</v>
      </c>
      <c r="M112" s="11">
        <v>0</v>
      </c>
      <c r="N112" s="11">
        <f t="shared" si="78"/>
        <v>483.03</v>
      </c>
      <c r="O112" s="10">
        <f t="shared" si="79"/>
        <v>615.13870499999996</v>
      </c>
      <c r="P112" s="12">
        <f t="shared" si="80"/>
        <v>0</v>
      </c>
      <c r="Q112" s="148"/>
      <c r="R112" s="74"/>
      <c r="S112" s="14">
        <f>F112-'[1]CORREÇÃO DOS ITENS DIVERGENTES'!$P107</f>
        <v>468.75864062368686</v>
      </c>
      <c r="T112" s="12">
        <f t="shared" si="51"/>
        <v>10427.410124999999</v>
      </c>
    </row>
    <row r="113" spans="1:20" ht="22.5">
      <c r="A113" s="88">
        <v>9006000</v>
      </c>
      <c r="B113" s="89" t="str">
        <f>B109</f>
        <v>SER-JAN-040</v>
      </c>
      <c r="C113" s="89" t="s">
        <v>142</v>
      </c>
      <c r="D113" s="90" t="s">
        <v>22</v>
      </c>
      <c r="E113" s="91">
        <f>3.85*2.2*2</f>
        <v>16.940000000000001</v>
      </c>
      <c r="F113" s="35">
        <f>F109</f>
        <v>583.03</v>
      </c>
      <c r="G113" s="91">
        <f t="shared" si="52"/>
        <v>728.78749999999991</v>
      </c>
      <c r="H113" s="12">
        <f t="shared" si="75"/>
        <v>9876.5282000000007</v>
      </c>
      <c r="I113" s="22">
        <v>16.940000000000001</v>
      </c>
      <c r="J113" s="11">
        <f t="shared" si="76"/>
        <v>583.03</v>
      </c>
      <c r="K113" s="10">
        <f t="shared" si="77"/>
        <v>742.48870499999998</v>
      </c>
      <c r="L113" s="12">
        <f t="shared" si="81"/>
        <v>12577.7586627</v>
      </c>
      <c r="M113" s="11">
        <v>0</v>
      </c>
      <c r="N113" s="11">
        <f t="shared" si="78"/>
        <v>583.03</v>
      </c>
      <c r="O113" s="10">
        <f t="shared" si="79"/>
        <v>742.48870499999998</v>
      </c>
      <c r="P113" s="12">
        <f t="shared" si="80"/>
        <v>0</v>
      </c>
      <c r="Q113" s="148"/>
      <c r="R113" s="74"/>
      <c r="S113" s="14">
        <f>F113-'[1]CORREÇÃO DOS ITENS DIVERGENTES'!$P109</f>
        <v>558.78908938753034</v>
      </c>
      <c r="T113" s="12">
        <f t="shared" si="51"/>
        <v>12345.660249999999</v>
      </c>
    </row>
    <row r="114" spans="1:20" ht="22.5">
      <c r="A114" s="88">
        <v>9007000</v>
      </c>
      <c r="B114" s="89" t="str">
        <f>B109</f>
        <v>SER-JAN-040</v>
      </c>
      <c r="C114" s="89" t="s">
        <v>144</v>
      </c>
      <c r="D114" s="90" t="s">
        <v>22</v>
      </c>
      <c r="E114" s="91">
        <v>7.79</v>
      </c>
      <c r="F114" s="35">
        <f>F113</f>
        <v>583.03</v>
      </c>
      <c r="G114" s="91">
        <f t="shared" si="52"/>
        <v>728.78749999999991</v>
      </c>
      <c r="H114" s="12">
        <f t="shared" si="75"/>
        <v>4541.8036999999995</v>
      </c>
      <c r="I114" s="22">
        <v>7.79</v>
      </c>
      <c r="J114" s="11">
        <f t="shared" si="76"/>
        <v>583.03</v>
      </c>
      <c r="K114" s="10">
        <f t="shared" si="77"/>
        <v>742.48870499999998</v>
      </c>
      <c r="L114" s="12">
        <f t="shared" si="81"/>
        <v>5783.9870119500001</v>
      </c>
      <c r="M114" s="11">
        <v>0</v>
      </c>
      <c r="N114" s="11">
        <f t="shared" si="78"/>
        <v>583.03</v>
      </c>
      <c r="O114" s="10">
        <f t="shared" si="79"/>
        <v>742.48870499999998</v>
      </c>
      <c r="P114" s="12">
        <f t="shared" si="80"/>
        <v>0</v>
      </c>
      <c r="Q114" s="148"/>
      <c r="R114" s="74"/>
      <c r="S114" s="14">
        <f>F114-'[1]CORREÇÃO DOS ITENS DIVERGENTES'!$P110</f>
        <v>545.91027408957711</v>
      </c>
      <c r="T114" s="12">
        <f t="shared" si="51"/>
        <v>5677.2546249999996</v>
      </c>
    </row>
    <row r="115" spans="1:20" ht="22.5">
      <c r="A115" s="88">
        <v>9008000</v>
      </c>
      <c r="B115" s="89" t="str">
        <f>B109</f>
        <v>SER-JAN-040</v>
      </c>
      <c r="C115" s="89" t="s">
        <v>160</v>
      </c>
      <c r="D115" s="90" t="s">
        <v>22</v>
      </c>
      <c r="E115" s="91">
        <f>2*0.72</f>
        <v>1.44</v>
      </c>
      <c r="F115" s="35">
        <f>F114</f>
        <v>583.03</v>
      </c>
      <c r="G115" s="91">
        <f t="shared" si="52"/>
        <v>728.78749999999991</v>
      </c>
      <c r="H115" s="12">
        <f t="shared" si="75"/>
        <v>839.56319999999994</v>
      </c>
      <c r="I115" s="22">
        <f>0.72+M115</f>
        <v>1.44</v>
      </c>
      <c r="J115" s="11">
        <f t="shared" si="76"/>
        <v>583.03</v>
      </c>
      <c r="K115" s="10">
        <f t="shared" si="77"/>
        <v>742.48870499999998</v>
      </c>
      <c r="L115" s="12">
        <f t="shared" si="81"/>
        <v>1069.1837352</v>
      </c>
      <c r="M115" s="11">
        <v>0.72</v>
      </c>
      <c r="N115" s="11">
        <f t="shared" si="78"/>
        <v>583.03</v>
      </c>
      <c r="O115" s="10">
        <f t="shared" si="79"/>
        <v>742.48870499999998</v>
      </c>
      <c r="P115" s="12">
        <f t="shared" si="80"/>
        <v>534.5918676</v>
      </c>
      <c r="Q115" s="148"/>
      <c r="R115" s="74"/>
      <c r="S115" s="14" t="e">
        <f>F115-'[1]CORREÇÃO DOS ITENS DIVERGENTES'!$P111</f>
        <v>#REF!</v>
      </c>
      <c r="T115" s="12">
        <f t="shared" si="51"/>
        <v>1049.4539999999997</v>
      </c>
    </row>
    <row r="116" spans="1:20" ht="22.5">
      <c r="A116" s="88">
        <v>9010000</v>
      </c>
      <c r="B116" s="89">
        <v>91338</v>
      </c>
      <c r="C116" s="89" t="s">
        <v>150</v>
      </c>
      <c r="D116" s="90" t="s">
        <v>22</v>
      </c>
      <c r="E116" s="91">
        <v>3.78</v>
      </c>
      <c r="F116" s="35">
        <f>F115</f>
        <v>583.03</v>
      </c>
      <c r="G116" s="91">
        <f t="shared" si="52"/>
        <v>728.78749999999991</v>
      </c>
      <c r="H116" s="12">
        <f t="shared" si="75"/>
        <v>2203.8534</v>
      </c>
      <c r="I116" s="22">
        <f>3.78+M116</f>
        <v>3.96</v>
      </c>
      <c r="J116" s="11">
        <f t="shared" si="76"/>
        <v>583.03</v>
      </c>
      <c r="K116" s="10">
        <f t="shared" si="77"/>
        <v>742.48870499999998</v>
      </c>
      <c r="L116" s="12">
        <f t="shared" si="81"/>
        <v>2940.2552717999997</v>
      </c>
      <c r="M116" s="11">
        <f>3.96-3.78</f>
        <v>0.18000000000000016</v>
      </c>
      <c r="N116" s="11">
        <f t="shared" si="78"/>
        <v>583.03</v>
      </c>
      <c r="O116" s="10">
        <f t="shared" si="79"/>
        <v>742.48870499999998</v>
      </c>
      <c r="P116" s="12">
        <f t="shared" si="80"/>
        <v>133.64796690000011</v>
      </c>
      <c r="Q116" s="148"/>
      <c r="R116" s="74"/>
      <c r="S116" s="14">
        <f>F116-'[1]CORREÇÃO DOS ITENS DIVERGENTES'!$P113</f>
        <v>574.00063775942397</v>
      </c>
      <c r="T116" s="12">
        <f t="shared" si="51"/>
        <v>2754.8167499999995</v>
      </c>
    </row>
    <row r="117" spans="1:20" s="8" customFormat="1" ht="14.25" hidden="1" customHeight="1">
      <c r="A117" s="117">
        <v>13000000</v>
      </c>
      <c r="B117" s="98"/>
      <c r="C117" s="187" t="s">
        <v>161</v>
      </c>
      <c r="D117" s="187"/>
      <c r="E117" s="187"/>
      <c r="F117" s="187"/>
      <c r="G117" s="91">
        <f t="shared" si="52"/>
        <v>0</v>
      </c>
      <c r="H117" s="87">
        <f>SUM(H118:H121)</f>
        <v>2878.7833119540078</v>
      </c>
      <c r="I117" s="159"/>
      <c r="J117" s="159"/>
      <c r="K117" s="6"/>
      <c r="L117" s="7">
        <f>SUM(L118:L121)</f>
        <v>2932.904438218744</v>
      </c>
      <c r="M117" s="159">
        <v>0</v>
      </c>
      <c r="N117" s="159"/>
      <c r="O117" s="20"/>
      <c r="P117" s="17">
        <f>SUM(P118:P121)</f>
        <v>228.93414536771007</v>
      </c>
      <c r="Q117" s="160">
        <f t="shared" si="59"/>
        <v>3161.8385835864542</v>
      </c>
      <c r="R117" s="159"/>
      <c r="S117" s="159"/>
      <c r="T117" s="12">
        <f t="shared" si="51"/>
        <v>0</v>
      </c>
    </row>
    <row r="118" spans="1:20" hidden="1">
      <c r="A118" s="118">
        <v>13001000</v>
      </c>
      <c r="B118" s="89" t="s">
        <v>162</v>
      </c>
      <c r="C118" s="89" t="s">
        <v>163</v>
      </c>
      <c r="D118" s="90" t="s">
        <v>22</v>
      </c>
      <c r="E118" s="91">
        <v>23.2</v>
      </c>
      <c r="F118" s="11">
        <f>VLOOKUP(A118,'[1]CORREÇÃO DOS ITENS DIVERGENTES'!$A$13:$G$490,7)</f>
        <v>28.046015132319482</v>
      </c>
      <c r="G118" s="91">
        <f t="shared" si="52"/>
        <v>35.057518915399356</v>
      </c>
      <c r="H118" s="12">
        <f>E118*G118</f>
        <v>813.334438837265</v>
      </c>
      <c r="I118" s="13">
        <v>23.2</v>
      </c>
      <c r="J118" s="11">
        <f>F118</f>
        <v>28.046015132319482</v>
      </c>
      <c r="K118" s="10">
        <f t="shared" ref="K118:K121" si="82">J118*1.2735</f>
        <v>35.716600271008865</v>
      </c>
      <c r="L118" s="12">
        <f>I118*K118</f>
        <v>828.62512628740569</v>
      </c>
      <c r="M118" s="11">
        <v>0</v>
      </c>
      <c r="N118" s="11">
        <f t="shared" ref="N118:N121" si="83">J118</f>
        <v>28.046015132319482</v>
      </c>
      <c r="O118" s="10">
        <f t="shared" ref="O118:O121" si="84">N118*1.2735</f>
        <v>35.716600271008865</v>
      </c>
      <c r="P118" s="12">
        <f t="shared" si="58"/>
        <v>0</v>
      </c>
      <c r="Q118" s="148"/>
      <c r="R118" s="74"/>
      <c r="S118" s="14">
        <f>F118-'[1]CORREÇÃO DOS ITENS DIVERGENTES'!$P112</f>
        <v>0</v>
      </c>
      <c r="T118" s="12">
        <f t="shared" si="51"/>
        <v>813.334438837265</v>
      </c>
    </row>
    <row r="119" spans="1:20" ht="22.5" hidden="1">
      <c r="A119" s="88">
        <v>13002000</v>
      </c>
      <c r="B119" s="89">
        <v>73635</v>
      </c>
      <c r="C119" s="89" t="s">
        <v>164</v>
      </c>
      <c r="D119" s="90" t="s">
        <v>22</v>
      </c>
      <c r="E119" s="91">
        <v>23.2</v>
      </c>
      <c r="F119" s="11">
        <f>VLOOKUP(A119,'[1]CORREÇÃO DOS ITENS DIVERGENTES'!$A$13:$G$490,7)</f>
        <v>9.0293622405759741</v>
      </c>
      <c r="G119" s="91">
        <f t="shared" si="52"/>
        <v>11.286702800719969</v>
      </c>
      <c r="H119" s="12">
        <f>E119*G119</f>
        <v>261.85150497670327</v>
      </c>
      <c r="I119" s="13">
        <v>23.2</v>
      </c>
      <c r="J119" s="11">
        <f>F119</f>
        <v>9.0293622405759741</v>
      </c>
      <c r="K119" s="10">
        <f t="shared" si="82"/>
        <v>11.498892813373503</v>
      </c>
      <c r="L119" s="12">
        <f t="shared" ref="L119:L121" si="85">I119*K119</f>
        <v>266.77431327026528</v>
      </c>
      <c r="M119" s="11">
        <v>0</v>
      </c>
      <c r="N119" s="11">
        <f t="shared" si="83"/>
        <v>9.0293622405759741</v>
      </c>
      <c r="O119" s="10">
        <f t="shared" si="84"/>
        <v>11.498892813373503</v>
      </c>
      <c r="P119" s="12">
        <f t="shared" si="58"/>
        <v>0</v>
      </c>
      <c r="Q119" s="148"/>
      <c r="R119" s="74"/>
      <c r="S119" s="14">
        <f>F119-'[1]CORREÇÃO DOS ITENS DIVERGENTES'!$P113</f>
        <v>0</v>
      </c>
      <c r="T119" s="12">
        <f t="shared" si="51"/>
        <v>261.85150497670327</v>
      </c>
    </row>
    <row r="120" spans="1:20" ht="22.5" hidden="1">
      <c r="A120" s="118">
        <v>13003000</v>
      </c>
      <c r="B120" s="89" t="s">
        <v>165</v>
      </c>
      <c r="C120" s="89" t="s">
        <v>166</v>
      </c>
      <c r="D120" s="90" t="s">
        <v>22</v>
      </c>
      <c r="E120" s="91">
        <v>319.38</v>
      </c>
      <c r="F120" s="11">
        <f>VLOOKUP(A120,'[1]CORREÇÃO DOS ITENS DIVERGENTES'!$A$13:$G$490,7)</f>
        <v>4.0800654525195954</v>
      </c>
      <c r="G120" s="91">
        <f t="shared" si="52"/>
        <v>5.100081815649494</v>
      </c>
      <c r="H120" s="12">
        <f>E120*G120</f>
        <v>1628.8641302821354</v>
      </c>
      <c r="I120" s="13">
        <v>319.38</v>
      </c>
      <c r="J120" s="11">
        <f>F120</f>
        <v>4.0800654525195954</v>
      </c>
      <c r="K120" s="10">
        <f t="shared" si="82"/>
        <v>5.1959633537837053</v>
      </c>
      <c r="L120" s="12">
        <f t="shared" si="85"/>
        <v>1659.4867759314398</v>
      </c>
      <c r="M120" s="11">
        <v>44.06</v>
      </c>
      <c r="N120" s="11">
        <f t="shared" si="83"/>
        <v>4.0800654525195954</v>
      </c>
      <c r="O120" s="10">
        <f t="shared" si="84"/>
        <v>5.1959633537837053</v>
      </c>
      <c r="P120" s="12">
        <f t="shared" si="58"/>
        <v>228.93414536771007</v>
      </c>
      <c r="Q120" s="148"/>
      <c r="R120" s="74"/>
      <c r="S120" s="14">
        <f>F120-'[1]CORREÇÃO DOS ITENS DIVERGENTES'!$P114</f>
        <v>0</v>
      </c>
      <c r="T120" s="12">
        <f t="shared" si="51"/>
        <v>1628.8641302821354</v>
      </c>
    </row>
    <row r="121" spans="1:20" ht="22.5" hidden="1">
      <c r="A121" s="88">
        <v>13004000</v>
      </c>
      <c r="B121" s="94" t="s">
        <v>167</v>
      </c>
      <c r="C121" s="94" t="s">
        <v>168</v>
      </c>
      <c r="D121" s="95" t="s">
        <v>30</v>
      </c>
      <c r="E121" s="97">
        <v>16</v>
      </c>
      <c r="F121" s="11">
        <f>VLOOKUP(A121,'[1]CORREÇÃO DOS ITENS DIVERGENTES'!$A$13:$G$490,7)</f>
        <v>8.7366618928952207</v>
      </c>
      <c r="G121" s="91">
        <f t="shared" si="52"/>
        <v>10.920827366119026</v>
      </c>
      <c r="H121" s="12">
        <f>E121*G121</f>
        <v>174.73323785790441</v>
      </c>
      <c r="I121" s="15">
        <v>16</v>
      </c>
      <c r="J121" s="11">
        <f>F121</f>
        <v>8.7366618928952207</v>
      </c>
      <c r="K121" s="10">
        <f t="shared" si="82"/>
        <v>11.126138920602065</v>
      </c>
      <c r="L121" s="12">
        <f t="shared" si="85"/>
        <v>178.01822272963304</v>
      </c>
      <c r="M121" s="11">
        <v>0</v>
      </c>
      <c r="N121" s="11">
        <f t="shared" si="83"/>
        <v>8.7366618928952207</v>
      </c>
      <c r="O121" s="10">
        <f t="shared" si="84"/>
        <v>11.126138920602065</v>
      </c>
      <c r="P121" s="12">
        <f t="shared" si="58"/>
        <v>0</v>
      </c>
      <c r="Q121" s="148"/>
      <c r="R121" s="74"/>
      <c r="S121" s="14">
        <f>F121-'[1]CORREÇÃO DOS ITENS DIVERGENTES'!$P115</f>
        <v>0</v>
      </c>
      <c r="T121" s="12">
        <f t="shared" si="51"/>
        <v>174.73323785790441</v>
      </c>
    </row>
    <row r="122" spans="1:20" s="8" customFormat="1" ht="14.25" hidden="1" customHeight="1">
      <c r="A122" s="117">
        <v>14000000</v>
      </c>
      <c r="B122" s="98"/>
      <c r="C122" s="187" t="s">
        <v>169</v>
      </c>
      <c r="D122" s="187"/>
      <c r="E122" s="187"/>
      <c r="F122" s="187"/>
      <c r="G122" s="91">
        <f t="shared" si="52"/>
        <v>0</v>
      </c>
      <c r="H122" s="87">
        <f>SUM(H123)</f>
        <v>5431.4966626501555</v>
      </c>
      <c r="I122" s="159"/>
      <c r="J122" s="159"/>
      <c r="K122" s="20"/>
      <c r="L122" s="21">
        <f>SUM(L123)</f>
        <v>5533.6087999079791</v>
      </c>
      <c r="M122" s="37"/>
      <c r="N122" s="37">
        <v>0</v>
      </c>
      <c r="O122" s="27"/>
      <c r="P122" s="17">
        <f>SUM(P123)</f>
        <v>0</v>
      </c>
      <c r="Q122" s="160">
        <f t="shared" si="59"/>
        <v>5533.6087999079791</v>
      </c>
      <c r="R122" s="159"/>
      <c r="S122" s="159"/>
      <c r="T122" s="12">
        <f t="shared" si="51"/>
        <v>0</v>
      </c>
    </row>
    <row r="123" spans="1:20" hidden="1">
      <c r="A123" s="118">
        <v>14001000</v>
      </c>
      <c r="B123" s="119" t="s">
        <v>170</v>
      </c>
      <c r="C123" s="119" t="s">
        <v>171</v>
      </c>
      <c r="D123" s="120" t="s">
        <v>30</v>
      </c>
      <c r="E123" s="121">
        <v>568.32000000000005</v>
      </c>
      <c r="F123" s="11">
        <f>VLOOKUP(A123,'[1]CORREÇÃO DOS ITENS DIVERGENTES'!$A$13:$G$490,7)</f>
        <v>7.6456878697215025</v>
      </c>
      <c r="G123" s="91">
        <f t="shared" si="52"/>
        <v>9.5571098371518772</v>
      </c>
      <c r="H123" s="12">
        <f>E123*G123</f>
        <v>5431.4966626501555</v>
      </c>
      <c r="I123" s="38">
        <v>568.32000000000005</v>
      </c>
      <c r="J123" s="11">
        <f>F123</f>
        <v>7.6456878697215025</v>
      </c>
      <c r="K123" s="10">
        <f t="shared" ref="K123" si="86">J123*1.2735</f>
        <v>9.7367835020903346</v>
      </c>
      <c r="L123" s="12">
        <f>I123*K123</f>
        <v>5533.6087999079791</v>
      </c>
      <c r="M123" s="11">
        <v>0</v>
      </c>
      <c r="N123" s="11">
        <f t="shared" ref="N123" si="87">J123</f>
        <v>7.6456878697215025</v>
      </c>
      <c r="O123" s="10">
        <f t="shared" ref="O123" si="88">N123*1.2735</f>
        <v>9.7367835020903346</v>
      </c>
      <c r="P123" s="12">
        <f t="shared" si="58"/>
        <v>0</v>
      </c>
      <c r="Q123" s="148"/>
      <c r="R123" s="74"/>
      <c r="S123" s="14">
        <f>F123-'[1]CORREÇÃO DOS ITENS DIVERGENTES'!$P117</f>
        <v>0</v>
      </c>
      <c r="T123" s="12">
        <f t="shared" si="51"/>
        <v>5431.4966626501555</v>
      </c>
    </row>
    <row r="124" spans="1:20" s="8" customFormat="1" ht="14.25" hidden="1" customHeight="1">
      <c r="A124" s="117">
        <v>15000000</v>
      </c>
      <c r="B124" s="98"/>
      <c r="C124" s="187" t="s">
        <v>172</v>
      </c>
      <c r="D124" s="187"/>
      <c r="E124" s="187"/>
      <c r="F124" s="187"/>
      <c r="G124" s="91">
        <f t="shared" si="52"/>
        <v>0</v>
      </c>
      <c r="H124" s="87">
        <f>SUM(H125:H130)</f>
        <v>64838.649734665218</v>
      </c>
      <c r="I124" s="159"/>
      <c r="J124" s="159"/>
      <c r="K124" s="27"/>
      <c r="L124" s="26">
        <f>SUM(L125:L130)</f>
        <v>64271.905278504986</v>
      </c>
      <c r="M124" s="159"/>
      <c r="N124" s="159"/>
      <c r="O124" s="6"/>
      <c r="P124" s="17">
        <f>SUM(P125:P130)</f>
        <v>-1785.7110711719315</v>
      </c>
      <c r="Q124" s="160">
        <f t="shared" si="59"/>
        <v>62486.194207333057</v>
      </c>
      <c r="R124" s="159"/>
      <c r="S124" s="159"/>
      <c r="T124" s="12">
        <f t="shared" si="51"/>
        <v>0</v>
      </c>
    </row>
    <row r="125" spans="1:20" ht="22.5" hidden="1">
      <c r="A125" s="118">
        <v>15001000</v>
      </c>
      <c r="B125" s="89" t="s">
        <v>173</v>
      </c>
      <c r="C125" s="89" t="s">
        <v>174</v>
      </c>
      <c r="D125" s="90" t="s">
        <v>22</v>
      </c>
      <c r="E125" s="91">
        <f>199.98+4.6</f>
        <v>204.57999999999998</v>
      </c>
      <c r="F125" s="11">
        <f>VLOOKUP(A125,'[1]CORREÇÃO DOS ITENS DIVERGENTES'!$A$13:$G$490,7)</f>
        <v>13.668219265940646</v>
      </c>
      <c r="G125" s="91">
        <f t="shared" si="52"/>
        <v>17.085274082425808</v>
      </c>
      <c r="H125" s="12">
        <f t="shared" ref="H125:H130" si="89">E125*G125</f>
        <v>3495.3053717826715</v>
      </c>
      <c r="I125" s="22">
        <f>199.98+4.6</f>
        <v>204.57999999999998</v>
      </c>
      <c r="J125" s="11">
        <f t="shared" ref="J125:J130" si="90">F125</f>
        <v>13.668219265940646</v>
      </c>
      <c r="K125" s="10">
        <f t="shared" ref="K125:K130" si="91">J125*1.2735</f>
        <v>17.406477235175412</v>
      </c>
      <c r="L125" s="12">
        <f>I125*K125</f>
        <v>3561.0171127721856</v>
      </c>
      <c r="M125" s="11">
        <v>0</v>
      </c>
      <c r="N125" s="11">
        <f t="shared" ref="N125:N130" si="92">J125</f>
        <v>13.668219265940646</v>
      </c>
      <c r="O125" s="10">
        <f t="shared" ref="O125:O130" si="93">N125*1.2735</f>
        <v>17.406477235175412</v>
      </c>
      <c r="P125" s="12">
        <f t="shared" si="58"/>
        <v>0</v>
      </c>
      <c r="Q125" s="148"/>
      <c r="R125" s="74"/>
      <c r="S125" s="14">
        <f>F125-'[1]CORREÇÃO DOS ITENS DIVERGENTES'!$P119</f>
        <v>0</v>
      </c>
      <c r="T125" s="12">
        <f t="shared" si="51"/>
        <v>3495.3053717826715</v>
      </c>
    </row>
    <row r="126" spans="1:20" ht="22.5" hidden="1">
      <c r="A126" s="118">
        <v>15002000</v>
      </c>
      <c r="B126" s="89" t="s">
        <v>175</v>
      </c>
      <c r="C126" s="89" t="s">
        <v>176</v>
      </c>
      <c r="D126" s="90" t="s">
        <v>22</v>
      </c>
      <c r="E126" s="91">
        <v>2410.39</v>
      </c>
      <c r="F126" s="11">
        <f>VLOOKUP(A126,'[1]CORREÇÃO DOS ITENS DIVERGENTES'!$A$13:$G$490,7)</f>
        <v>2.8205669867418077</v>
      </c>
      <c r="G126" s="91">
        <f t="shared" si="52"/>
        <v>3.5257087334272597</v>
      </c>
      <c r="H126" s="12">
        <f t="shared" si="89"/>
        <v>8498.3330739657322</v>
      </c>
      <c r="I126" s="22">
        <f>2410.39+M126</f>
        <v>2270.39</v>
      </c>
      <c r="J126" s="11">
        <f t="shared" si="90"/>
        <v>2.8205669867418077</v>
      </c>
      <c r="K126" s="10">
        <f t="shared" si="91"/>
        <v>3.5919920576156925</v>
      </c>
      <c r="L126" s="12">
        <f t="shared" ref="L126:L130" si="94">I126*K126</f>
        <v>8155.2228476900918</v>
      </c>
      <c r="M126" s="11">
        <v>-140</v>
      </c>
      <c r="N126" s="11">
        <f t="shared" si="92"/>
        <v>2.8205669867418077</v>
      </c>
      <c r="O126" s="10">
        <f t="shared" si="93"/>
        <v>3.5919920576156925</v>
      </c>
      <c r="P126" s="12">
        <f t="shared" si="58"/>
        <v>-502.87888806619696</v>
      </c>
      <c r="Q126" s="148"/>
      <c r="R126" s="74"/>
      <c r="S126" s="14">
        <f>F126-'[1]CORREÇÃO DOS ITENS DIVERGENTES'!$P120</f>
        <v>0</v>
      </c>
      <c r="T126" s="12">
        <f t="shared" si="51"/>
        <v>8498.3330739657322</v>
      </c>
    </row>
    <row r="127" spans="1:20" hidden="1">
      <c r="A127" s="118">
        <v>15003000</v>
      </c>
      <c r="B127" s="89" t="s">
        <v>177</v>
      </c>
      <c r="C127" s="89" t="s">
        <v>178</v>
      </c>
      <c r="D127" s="90" t="s">
        <v>22</v>
      </c>
      <c r="E127" s="91">
        <f>2132+73.9</f>
        <v>2205.9</v>
      </c>
      <c r="F127" s="11">
        <f>VLOOKUP(A127,'[1]CORREÇÃO DOS ITENS DIVERGENTES'!$A$13:$G$490,7)</f>
        <v>13.224733890666776</v>
      </c>
      <c r="G127" s="91">
        <f t="shared" si="52"/>
        <v>16.530917363333472</v>
      </c>
      <c r="H127" s="12">
        <f t="shared" si="89"/>
        <v>36465.550611777311</v>
      </c>
      <c r="I127" s="22">
        <f>2132+73.9+M127</f>
        <v>2129.73</v>
      </c>
      <c r="J127" s="11">
        <f t="shared" si="90"/>
        <v>13.224733890666776</v>
      </c>
      <c r="K127" s="10">
        <f t="shared" si="91"/>
        <v>16.841698609764141</v>
      </c>
      <c r="L127" s="12">
        <f t="shared" si="94"/>
        <v>35868.270780172985</v>
      </c>
      <c r="M127" s="11">
        <v>-76.17</v>
      </c>
      <c r="N127" s="11">
        <f t="shared" si="92"/>
        <v>13.224733890666776</v>
      </c>
      <c r="O127" s="10">
        <f t="shared" si="93"/>
        <v>16.841698609764141</v>
      </c>
      <c r="P127" s="12">
        <f t="shared" si="58"/>
        <v>-1282.8321831057347</v>
      </c>
      <c r="Q127" s="148"/>
      <c r="R127" s="74"/>
      <c r="S127" s="14">
        <f>F127-'[1]CORREÇÃO DOS ITENS DIVERGENTES'!$P121</f>
        <v>0</v>
      </c>
      <c r="T127" s="12">
        <f t="shared" si="51"/>
        <v>36465.550611777311</v>
      </c>
    </row>
    <row r="128" spans="1:20" ht="22.5" hidden="1">
      <c r="A128" s="118">
        <v>15004000</v>
      </c>
      <c r="B128" s="89" t="s">
        <v>179</v>
      </c>
      <c r="C128" s="89" t="s">
        <v>180</v>
      </c>
      <c r="D128" s="90" t="s">
        <v>22</v>
      </c>
      <c r="E128" s="91">
        <v>204.58</v>
      </c>
      <c r="F128" s="11">
        <f>VLOOKUP(A128,'[1]CORREÇÃO DOS ITENS DIVERGENTES'!$A$13:$G$490,7)</f>
        <v>26.023721821070641</v>
      </c>
      <c r="G128" s="91">
        <f t="shared" si="52"/>
        <v>32.529652276338304</v>
      </c>
      <c r="H128" s="12">
        <f t="shared" si="89"/>
        <v>6654.9162626932903</v>
      </c>
      <c r="I128" s="22">
        <v>204.58</v>
      </c>
      <c r="J128" s="11">
        <f t="shared" si="90"/>
        <v>26.023721821070641</v>
      </c>
      <c r="K128" s="10">
        <f t="shared" si="91"/>
        <v>33.141209739133465</v>
      </c>
      <c r="L128" s="12">
        <f t="shared" si="94"/>
        <v>6780.0286884319248</v>
      </c>
      <c r="M128" s="11">
        <v>0</v>
      </c>
      <c r="N128" s="11">
        <f t="shared" si="92"/>
        <v>26.023721821070641</v>
      </c>
      <c r="O128" s="10">
        <f t="shared" si="93"/>
        <v>33.141209739133465</v>
      </c>
      <c r="P128" s="12">
        <f t="shared" si="58"/>
        <v>0</v>
      </c>
      <c r="Q128" s="148"/>
      <c r="R128" s="74"/>
      <c r="S128" s="14">
        <f>F128-'[1]CORREÇÃO DOS ITENS DIVERGENTES'!$P122</f>
        <v>0</v>
      </c>
      <c r="T128" s="12">
        <f t="shared" si="51"/>
        <v>6654.9162626932903</v>
      </c>
    </row>
    <row r="129" spans="1:20" ht="22.5" hidden="1">
      <c r="A129" s="118">
        <v>15005000</v>
      </c>
      <c r="B129" s="89" t="s">
        <v>181</v>
      </c>
      <c r="C129" s="89" t="s">
        <v>182</v>
      </c>
      <c r="D129" s="90" t="s">
        <v>30</v>
      </c>
      <c r="E129" s="91">
        <v>71.06</v>
      </c>
      <c r="F129" s="11">
        <f>VLOOKUP(A129,'[1]CORREÇÃO DOS ITENS DIVERGENTES'!$A$13:$G$490,7)</f>
        <v>34.104025358560534</v>
      </c>
      <c r="G129" s="91">
        <f t="shared" si="52"/>
        <v>42.630031698200668</v>
      </c>
      <c r="H129" s="12">
        <f t="shared" si="89"/>
        <v>3029.2900524741394</v>
      </c>
      <c r="I129" s="13">
        <v>71.06</v>
      </c>
      <c r="J129" s="11">
        <f t="shared" si="90"/>
        <v>34.104025358560534</v>
      </c>
      <c r="K129" s="10">
        <f t="shared" si="91"/>
        <v>43.431476294126846</v>
      </c>
      <c r="L129" s="12">
        <f t="shared" si="94"/>
        <v>3086.2407054606538</v>
      </c>
      <c r="M129" s="11">
        <v>0</v>
      </c>
      <c r="N129" s="11">
        <f t="shared" si="92"/>
        <v>34.104025358560534</v>
      </c>
      <c r="O129" s="10">
        <f t="shared" si="93"/>
        <v>43.431476294126846</v>
      </c>
      <c r="P129" s="12">
        <f t="shared" si="58"/>
        <v>0</v>
      </c>
      <c r="Q129" s="148"/>
      <c r="R129" s="74"/>
      <c r="S129" s="14">
        <f>F129-'[1]CORREÇÃO DOS ITENS DIVERGENTES'!$P123</f>
        <v>0</v>
      </c>
      <c r="T129" s="12">
        <f t="shared" si="51"/>
        <v>3029.2900524741394</v>
      </c>
    </row>
    <row r="130" spans="1:20" ht="22.5" hidden="1">
      <c r="A130" s="118">
        <v>15006000</v>
      </c>
      <c r="B130" s="89" t="s">
        <v>183</v>
      </c>
      <c r="C130" s="89" t="s">
        <v>184</v>
      </c>
      <c r="D130" s="90" t="s">
        <v>30</v>
      </c>
      <c r="E130" s="91">
        <v>84</v>
      </c>
      <c r="F130" s="11">
        <f>VLOOKUP(A130,'[1]CORREÇÃO DOS ITENS DIVERGENTES'!$A$13:$G$490,7)</f>
        <v>63.764327256876904</v>
      </c>
      <c r="G130" s="91">
        <f t="shared" si="52"/>
        <v>79.705409071096128</v>
      </c>
      <c r="H130" s="12">
        <f t="shared" si="89"/>
        <v>6695.2543619720745</v>
      </c>
      <c r="I130" s="13">
        <v>84</v>
      </c>
      <c r="J130" s="11">
        <f t="shared" si="90"/>
        <v>63.764327256876904</v>
      </c>
      <c r="K130" s="10">
        <f t="shared" si="91"/>
        <v>81.203870761632743</v>
      </c>
      <c r="L130" s="12">
        <f t="shared" si="94"/>
        <v>6821.1251439771504</v>
      </c>
      <c r="M130" s="11">
        <v>0</v>
      </c>
      <c r="N130" s="11">
        <f t="shared" si="92"/>
        <v>63.764327256876904</v>
      </c>
      <c r="O130" s="10">
        <f t="shared" si="93"/>
        <v>81.203870761632743</v>
      </c>
      <c r="P130" s="12">
        <f t="shared" si="58"/>
        <v>0</v>
      </c>
      <c r="Q130" s="148"/>
      <c r="R130" s="74"/>
      <c r="S130" s="14">
        <f>F130-'[1]CORREÇÃO DOS ITENS DIVERGENTES'!$P124</f>
        <v>0</v>
      </c>
      <c r="T130" s="12">
        <f t="shared" si="51"/>
        <v>6695.2543619720745</v>
      </c>
    </row>
    <row r="131" spans="1:20" s="8" customFormat="1" ht="14.25" hidden="1" customHeight="1">
      <c r="A131" s="117">
        <v>16000000</v>
      </c>
      <c r="B131" s="98"/>
      <c r="C131" s="187" t="s">
        <v>185</v>
      </c>
      <c r="D131" s="187"/>
      <c r="E131" s="187"/>
      <c r="F131" s="187"/>
      <c r="G131" s="91">
        <f t="shared" si="52"/>
        <v>0</v>
      </c>
      <c r="H131" s="87">
        <f>SUM(H132:H140)</f>
        <v>86501.75614610457</v>
      </c>
      <c r="I131" s="159"/>
      <c r="J131" s="159"/>
      <c r="K131" s="27"/>
      <c r="L131" s="26">
        <f>SUM(L132:L140)</f>
        <v>92885.162446666014</v>
      </c>
      <c r="M131" s="159"/>
      <c r="N131" s="159"/>
      <c r="O131" s="16"/>
      <c r="P131" s="17">
        <f>SUM(P132:P140)</f>
        <v>4757.1732850146782</v>
      </c>
      <c r="Q131" s="160">
        <f t="shared" si="59"/>
        <v>97642.335731680694</v>
      </c>
      <c r="R131" s="159"/>
      <c r="S131" s="159"/>
      <c r="T131" s="12">
        <f t="shared" si="51"/>
        <v>0</v>
      </c>
    </row>
    <row r="132" spans="1:20" ht="22.5" hidden="1">
      <c r="A132" s="118">
        <v>16001000</v>
      </c>
      <c r="B132" s="89">
        <v>68325</v>
      </c>
      <c r="C132" s="89" t="s">
        <v>186</v>
      </c>
      <c r="D132" s="90" t="s">
        <v>22</v>
      </c>
      <c r="E132" s="91">
        <v>410.67</v>
      </c>
      <c r="F132" s="11">
        <f>VLOOKUP(A132,'[1]CORREÇÃO DOS ITENS DIVERGENTES'!$A$13:$G$490,7)</f>
        <v>29.270034768075362</v>
      </c>
      <c r="G132" s="91">
        <f t="shared" si="52"/>
        <v>36.587543460094203</v>
      </c>
      <c r="H132" s="12">
        <f t="shared" ref="H132:H140" si="95">E132*G132</f>
        <v>15025.406472756888</v>
      </c>
      <c r="I132" s="22">
        <v>410.67</v>
      </c>
      <c r="J132" s="11">
        <f t="shared" ref="J132:J140" si="96">F132</f>
        <v>29.270034768075362</v>
      </c>
      <c r="K132" s="10">
        <f t="shared" ref="K132:K140" si="97">J132*1.2735</f>
        <v>37.275389277143979</v>
      </c>
      <c r="L132" s="12">
        <f>I132*K132</f>
        <v>15307.884114444718</v>
      </c>
      <c r="M132" s="11">
        <v>0</v>
      </c>
      <c r="N132" s="11">
        <f t="shared" ref="N132:N140" si="98">J132</f>
        <v>29.270034768075362</v>
      </c>
      <c r="O132" s="10">
        <f t="shared" ref="O132:O140" si="99">N132*1.2735</f>
        <v>37.275389277143979</v>
      </c>
      <c r="P132" s="12">
        <f t="shared" si="58"/>
        <v>0</v>
      </c>
      <c r="Q132" s="148"/>
      <c r="R132" s="74"/>
      <c r="S132" s="14">
        <f>F132-'[1]CORREÇÃO DOS ITENS DIVERGENTES'!$P126</f>
        <v>0</v>
      </c>
      <c r="T132" s="12">
        <f t="shared" si="51"/>
        <v>15025.406472756888</v>
      </c>
    </row>
    <row r="133" spans="1:20" ht="22.5" hidden="1">
      <c r="A133" s="118">
        <v>16002000</v>
      </c>
      <c r="B133" s="89" t="s">
        <v>187</v>
      </c>
      <c r="C133" s="89" t="s">
        <v>168</v>
      </c>
      <c r="D133" s="90" t="s">
        <v>22</v>
      </c>
      <c r="E133" s="91">
        <v>568.32000000000005</v>
      </c>
      <c r="F133" s="11">
        <f>VLOOKUP(A133,'[1]CORREÇÃO DOS ITENS DIVERGENTES'!$A$13:$G$490,7)</f>
        <v>8.7366618928952207</v>
      </c>
      <c r="G133" s="91">
        <f t="shared" si="52"/>
        <v>10.920827366119026</v>
      </c>
      <c r="H133" s="12">
        <f t="shared" si="95"/>
        <v>6206.5246087127653</v>
      </c>
      <c r="I133" s="22">
        <v>568.32000000000005</v>
      </c>
      <c r="J133" s="11">
        <f t="shared" si="96"/>
        <v>8.7366618928952207</v>
      </c>
      <c r="K133" s="10">
        <f t="shared" si="97"/>
        <v>11.126138920602065</v>
      </c>
      <c r="L133" s="12">
        <f t="shared" ref="L133:L140" si="100">I133*K133</f>
        <v>6323.2072713565658</v>
      </c>
      <c r="M133" s="11">
        <v>0</v>
      </c>
      <c r="N133" s="11">
        <f t="shared" si="98"/>
        <v>8.7366618928952207</v>
      </c>
      <c r="O133" s="10">
        <f t="shared" si="99"/>
        <v>11.126138920602065</v>
      </c>
      <c r="P133" s="12">
        <f t="shared" si="58"/>
        <v>0</v>
      </c>
      <c r="Q133" s="148"/>
      <c r="R133" s="74"/>
      <c r="S133" s="14">
        <f>F133-'[1]CORREÇÃO DOS ITENS DIVERGENTES'!$P127</f>
        <v>0</v>
      </c>
      <c r="T133" s="12">
        <f t="shared" si="51"/>
        <v>6206.5246087127653</v>
      </c>
    </row>
    <row r="134" spans="1:20" hidden="1">
      <c r="A134" s="118">
        <v>16003000</v>
      </c>
      <c r="B134" s="89" t="s">
        <v>42</v>
      </c>
      <c r="C134" s="89" t="s">
        <v>43</v>
      </c>
      <c r="D134" s="90" t="s">
        <v>33</v>
      </c>
      <c r="E134" s="91">
        <v>99.7</v>
      </c>
      <c r="F134" s="11">
        <f>VLOOKUP(A134,'[1]CORREÇÃO DOS ITENS DIVERGENTES'!$A$13:$G$490,7)</f>
        <v>1.6408958885133158</v>
      </c>
      <c r="G134" s="91">
        <f t="shared" si="52"/>
        <v>2.051119860641645</v>
      </c>
      <c r="H134" s="12">
        <f t="shared" si="95"/>
        <v>204.49665010597201</v>
      </c>
      <c r="I134" s="22">
        <v>99.7</v>
      </c>
      <c r="J134" s="11">
        <f t="shared" si="96"/>
        <v>1.6408958885133158</v>
      </c>
      <c r="K134" s="10">
        <f t="shared" si="97"/>
        <v>2.0896809140217076</v>
      </c>
      <c r="L134" s="12">
        <f t="shared" si="100"/>
        <v>208.34118712796425</v>
      </c>
      <c r="M134" s="11">
        <v>0</v>
      </c>
      <c r="N134" s="11">
        <f t="shared" si="98"/>
        <v>1.6408958885133158</v>
      </c>
      <c r="O134" s="10">
        <f t="shared" si="99"/>
        <v>2.0896809140217076</v>
      </c>
      <c r="P134" s="12">
        <f t="shared" si="58"/>
        <v>0</v>
      </c>
      <c r="Q134" s="148"/>
      <c r="R134" s="74"/>
      <c r="S134" s="14">
        <f>F134-'[1]CORREÇÃO DOS ITENS DIVERGENTES'!$P128</f>
        <v>0</v>
      </c>
      <c r="T134" s="12">
        <f t="shared" si="51"/>
        <v>204.49665010597201</v>
      </c>
    </row>
    <row r="135" spans="1:20" hidden="1">
      <c r="A135" s="118">
        <v>16004000</v>
      </c>
      <c r="B135" s="89" t="s">
        <v>62</v>
      </c>
      <c r="C135" s="89" t="s">
        <v>188</v>
      </c>
      <c r="D135" s="90" t="s">
        <v>33</v>
      </c>
      <c r="E135" s="91">
        <v>49.85</v>
      </c>
      <c r="F135" s="11">
        <f>VLOOKUP(A135,'[1]CORREÇÃO DOS ITENS DIVERGENTES'!$A$13:$G$490,7)</f>
        <v>223.17958025282189</v>
      </c>
      <c r="G135" s="91">
        <f t="shared" si="52"/>
        <v>278.97447531602734</v>
      </c>
      <c r="H135" s="12">
        <f t="shared" si="95"/>
        <v>13906.877594503963</v>
      </c>
      <c r="I135" s="22">
        <v>49.85</v>
      </c>
      <c r="J135" s="11">
        <f t="shared" si="96"/>
        <v>223.17958025282189</v>
      </c>
      <c r="K135" s="10">
        <f t="shared" si="97"/>
        <v>284.21919545196869</v>
      </c>
      <c r="L135" s="12">
        <f t="shared" si="100"/>
        <v>14168.326893280639</v>
      </c>
      <c r="M135" s="11">
        <v>0</v>
      </c>
      <c r="N135" s="11">
        <f t="shared" si="98"/>
        <v>223.17958025282189</v>
      </c>
      <c r="O135" s="10">
        <f t="shared" si="99"/>
        <v>284.21919545196869</v>
      </c>
      <c r="P135" s="12">
        <f t="shared" si="58"/>
        <v>0</v>
      </c>
      <c r="Q135" s="148"/>
      <c r="R135" s="74"/>
      <c r="S135" s="14">
        <f>F135-'[1]CORREÇÃO DOS ITENS DIVERGENTES'!$P129</f>
        <v>0</v>
      </c>
      <c r="T135" s="12">
        <f t="shared" si="51"/>
        <v>13906.877594503963</v>
      </c>
    </row>
    <row r="136" spans="1:20" ht="22.5" hidden="1">
      <c r="A136" s="118">
        <v>16005000</v>
      </c>
      <c r="B136" s="89" t="s">
        <v>189</v>
      </c>
      <c r="C136" s="89" t="s">
        <v>190</v>
      </c>
      <c r="D136" s="90" t="s">
        <v>22</v>
      </c>
      <c r="E136" s="91">
        <f>543.71-84</f>
        <v>459.71000000000004</v>
      </c>
      <c r="F136" s="11">
        <f>VLOOKUP(A136,'[1]CORREÇÃO DOS ITENS DIVERGENTES'!$A$13:$G$490,7)</f>
        <v>36.410149309984654</v>
      </c>
      <c r="G136" s="91">
        <f t="shared" si="52"/>
        <v>45.512686637480819</v>
      </c>
      <c r="H136" s="12">
        <f t="shared" si="95"/>
        <v>20922.637174116309</v>
      </c>
      <c r="I136" s="22">
        <f>543.71-84+M136</f>
        <v>511.53000000000003</v>
      </c>
      <c r="J136" s="11">
        <f t="shared" si="96"/>
        <v>36.410149309984654</v>
      </c>
      <c r="K136" s="10">
        <f t="shared" si="97"/>
        <v>46.368325146265462</v>
      </c>
      <c r="L136" s="12">
        <f t="shared" si="100"/>
        <v>23718.789362069172</v>
      </c>
      <c r="M136" s="11">
        <f>511.53-459.71</f>
        <v>51.819999999999993</v>
      </c>
      <c r="N136" s="11">
        <f t="shared" si="98"/>
        <v>36.410149309984654</v>
      </c>
      <c r="O136" s="10">
        <f t="shared" si="99"/>
        <v>46.368325146265462</v>
      </c>
      <c r="P136" s="12">
        <f t="shared" si="58"/>
        <v>2402.8066090794759</v>
      </c>
      <c r="Q136" s="148"/>
      <c r="R136" s="74"/>
      <c r="S136" s="14">
        <f>F136-'[1]CORREÇÃO DOS ITENS DIVERGENTES'!$P130</f>
        <v>0</v>
      </c>
      <c r="T136" s="12">
        <f t="shared" si="51"/>
        <v>20922.637174116309</v>
      </c>
    </row>
    <row r="137" spans="1:20" ht="22.5" hidden="1">
      <c r="A137" s="118">
        <v>16006000</v>
      </c>
      <c r="B137" s="89" t="s">
        <v>191</v>
      </c>
      <c r="C137" s="89" t="s">
        <v>192</v>
      </c>
      <c r="D137" s="90" t="s">
        <v>193</v>
      </c>
      <c r="E137" s="91">
        <v>359.4</v>
      </c>
      <c r="F137" s="11">
        <f>VLOOKUP(A137,'[1]CORREÇÃO DOS ITENS DIVERGENTES'!$A$13:$G$490,7)</f>
        <v>4.1244139900469827</v>
      </c>
      <c r="G137" s="91">
        <f t="shared" si="52"/>
        <v>5.1555174875587282</v>
      </c>
      <c r="H137" s="12">
        <f t="shared" si="95"/>
        <v>1852.8929850286067</v>
      </c>
      <c r="I137" s="22">
        <v>359.4</v>
      </c>
      <c r="J137" s="11">
        <f t="shared" si="96"/>
        <v>4.1244139900469827</v>
      </c>
      <c r="K137" s="10">
        <f t="shared" si="97"/>
        <v>5.2524412163248329</v>
      </c>
      <c r="L137" s="12">
        <f t="shared" si="100"/>
        <v>1887.7273731471448</v>
      </c>
      <c r="M137" s="11">
        <v>0</v>
      </c>
      <c r="N137" s="11">
        <f t="shared" si="98"/>
        <v>4.1244139900469827</v>
      </c>
      <c r="O137" s="10">
        <f t="shared" si="99"/>
        <v>5.2524412163248329</v>
      </c>
      <c r="P137" s="12">
        <f t="shared" si="58"/>
        <v>0</v>
      </c>
      <c r="Q137" s="148"/>
      <c r="R137" s="74"/>
      <c r="S137" s="14">
        <f>F137-'[1]CORREÇÃO DOS ITENS DIVERGENTES'!$P131</f>
        <v>0</v>
      </c>
      <c r="T137" s="12">
        <f t="shared" si="51"/>
        <v>1852.8929850286067</v>
      </c>
    </row>
    <row r="138" spans="1:20" ht="22.5" hidden="1">
      <c r="A138" s="118">
        <v>16007000</v>
      </c>
      <c r="B138" s="89" t="s">
        <v>194</v>
      </c>
      <c r="C138" s="89" t="s">
        <v>195</v>
      </c>
      <c r="D138" s="90" t="s">
        <v>22</v>
      </c>
      <c r="E138" s="91">
        <f>24.61+10.6</f>
        <v>35.21</v>
      </c>
      <c r="F138" s="11">
        <f>VLOOKUP(A138,'[1]CORREÇÃO DOS ITENS DIVERGENTES'!$A$13:$G$490,7)</f>
        <v>43.647830634454202</v>
      </c>
      <c r="G138" s="91">
        <f t="shared" si="52"/>
        <v>54.559788293067754</v>
      </c>
      <c r="H138" s="12">
        <f t="shared" si="95"/>
        <v>1921.0501457989158</v>
      </c>
      <c r="I138" s="22">
        <f>24.61+10.6</f>
        <v>35.21</v>
      </c>
      <c r="J138" s="11">
        <f t="shared" si="96"/>
        <v>43.647830634454202</v>
      </c>
      <c r="K138" s="10">
        <f t="shared" si="97"/>
        <v>55.585512312977428</v>
      </c>
      <c r="L138" s="12">
        <f t="shared" si="100"/>
        <v>1957.1658885399354</v>
      </c>
      <c r="M138" s="11">
        <v>0</v>
      </c>
      <c r="N138" s="11">
        <f t="shared" si="98"/>
        <v>43.647830634454202</v>
      </c>
      <c r="O138" s="10">
        <f t="shared" si="99"/>
        <v>55.585512312977428</v>
      </c>
      <c r="P138" s="12">
        <f t="shared" si="58"/>
        <v>0</v>
      </c>
      <c r="Q138" s="148"/>
      <c r="R138" s="74"/>
      <c r="S138" s="14">
        <f>F138-'[1]CORREÇÃO DOS ITENS DIVERGENTES'!$P132</f>
        <v>0</v>
      </c>
      <c r="T138" s="12">
        <f t="shared" si="51"/>
        <v>1921.0501457989158</v>
      </c>
    </row>
    <row r="139" spans="1:20" ht="22.5" hidden="1">
      <c r="A139" s="118">
        <v>16008000</v>
      </c>
      <c r="B139" s="89" t="s">
        <v>196</v>
      </c>
      <c r="C139" s="89" t="s">
        <v>197</v>
      </c>
      <c r="D139" s="90" t="s">
        <v>102</v>
      </c>
      <c r="E139" s="91">
        <v>4</v>
      </c>
      <c r="F139" s="11">
        <f>VLOOKUP(A139,'[1]CORREÇÃO DOS ITENS DIVERGENTES'!$A$13:$G$490,7)</f>
        <v>37.864781340882942</v>
      </c>
      <c r="G139" s="91">
        <f t="shared" si="52"/>
        <v>47.330976676103674</v>
      </c>
      <c r="H139" s="12">
        <f t="shared" si="95"/>
        <v>189.3239067044147</v>
      </c>
      <c r="I139" s="22">
        <v>4</v>
      </c>
      <c r="J139" s="11">
        <f t="shared" si="96"/>
        <v>37.864781340882942</v>
      </c>
      <c r="K139" s="10">
        <f t="shared" si="97"/>
        <v>48.220799037614427</v>
      </c>
      <c r="L139" s="12">
        <f t="shared" si="100"/>
        <v>192.88319615045771</v>
      </c>
      <c r="M139" s="11">
        <v>0</v>
      </c>
      <c r="N139" s="11">
        <f t="shared" si="98"/>
        <v>37.864781340882942</v>
      </c>
      <c r="O139" s="10">
        <f t="shared" si="99"/>
        <v>48.220799037614427</v>
      </c>
      <c r="P139" s="12">
        <f t="shared" si="58"/>
        <v>0</v>
      </c>
      <c r="Q139" s="148"/>
      <c r="R139" s="74"/>
      <c r="S139" s="14">
        <f>F139-'[1]CORREÇÃO DOS ITENS DIVERGENTES'!$P133</f>
        <v>0</v>
      </c>
      <c r="T139" s="12">
        <f t="shared" si="51"/>
        <v>189.3239067044147</v>
      </c>
    </row>
    <row r="140" spans="1:20" ht="45" hidden="1">
      <c r="A140" s="118">
        <v>16009000</v>
      </c>
      <c r="B140" s="89" t="s">
        <v>198</v>
      </c>
      <c r="C140" s="89" t="s">
        <v>199</v>
      </c>
      <c r="D140" s="90" t="s">
        <v>30</v>
      </c>
      <c r="E140" s="91">
        <f>84+10.93</f>
        <v>94.93</v>
      </c>
      <c r="F140" s="11">
        <f>VLOOKUP(A140,'[1]CORREÇÃO DOS ITENS DIVERGENTES'!$A$13:$G$490,7)</f>
        <v>221.40563875172643</v>
      </c>
      <c r="G140" s="91">
        <f t="shared" si="52"/>
        <v>276.75704843965804</v>
      </c>
      <c r="H140" s="12">
        <f t="shared" si="95"/>
        <v>26272.546608376739</v>
      </c>
      <c r="I140" s="13">
        <f>84+10.93+M140</f>
        <v>103.28</v>
      </c>
      <c r="J140" s="11">
        <f t="shared" si="96"/>
        <v>221.40563875172643</v>
      </c>
      <c r="K140" s="10">
        <f t="shared" si="97"/>
        <v>281.96008095032363</v>
      </c>
      <c r="L140" s="12">
        <f t="shared" si="100"/>
        <v>29120.837160549425</v>
      </c>
      <c r="M140" s="11">
        <f>103.28-84-10.93</f>
        <v>8.3500000000000014</v>
      </c>
      <c r="N140" s="11">
        <f t="shared" si="98"/>
        <v>221.40563875172643</v>
      </c>
      <c r="O140" s="10">
        <f t="shared" si="99"/>
        <v>281.96008095032363</v>
      </c>
      <c r="P140" s="12">
        <f t="shared" si="58"/>
        <v>2354.3666759352027</v>
      </c>
      <c r="Q140" s="148"/>
      <c r="R140" s="74"/>
      <c r="S140" s="14">
        <f>F140-'[1]CORREÇÃO DOS ITENS DIVERGENTES'!$P134</f>
        <v>0</v>
      </c>
      <c r="T140" s="12">
        <f t="shared" si="51"/>
        <v>26272.546608376739</v>
      </c>
    </row>
    <row r="141" spans="1:20" s="8" customFormat="1" ht="14.25" hidden="1" customHeight="1">
      <c r="A141" s="117">
        <v>17000000</v>
      </c>
      <c r="B141" s="98"/>
      <c r="C141" s="187" t="s">
        <v>200</v>
      </c>
      <c r="D141" s="187"/>
      <c r="E141" s="187"/>
      <c r="F141" s="187"/>
      <c r="G141" s="91">
        <f t="shared" si="52"/>
        <v>0</v>
      </c>
      <c r="H141" s="87">
        <f>SUM(H142:H150)</f>
        <v>71106.403819101135</v>
      </c>
      <c r="I141" s="159"/>
      <c r="J141" s="159"/>
      <c r="K141" s="27"/>
      <c r="L141" s="26">
        <f>SUM(L142:L150)</f>
        <v>85628.3821936944</v>
      </c>
      <c r="M141" s="159"/>
      <c r="N141" s="159"/>
      <c r="O141" s="16"/>
      <c r="P141" s="17">
        <f>SUM(P142:P150)</f>
        <v>13185.177982794161</v>
      </c>
      <c r="Q141" s="160">
        <f t="shared" si="59"/>
        <v>98813.560176488565</v>
      </c>
      <c r="R141" s="159"/>
      <c r="S141" s="159"/>
      <c r="T141" s="12">
        <f t="shared" si="51"/>
        <v>0</v>
      </c>
    </row>
    <row r="142" spans="1:20" hidden="1">
      <c r="A142" s="118">
        <v>17001000</v>
      </c>
      <c r="B142" s="89">
        <v>73675</v>
      </c>
      <c r="C142" s="89" t="s">
        <v>201</v>
      </c>
      <c r="D142" s="90" t="s">
        <v>22</v>
      </c>
      <c r="E142" s="91">
        <v>74.2</v>
      </c>
      <c r="F142" s="11">
        <f>VLOOKUP(A142,'[1]CORREÇÃO DOS ITENS DIVERGENTES'!$A$13:$G$490,7)</f>
        <v>35.478830021909531</v>
      </c>
      <c r="G142" s="91">
        <f t="shared" si="52"/>
        <v>44.34853752738691</v>
      </c>
      <c r="H142" s="12">
        <f t="shared" ref="H142:H150" si="101">E142*G142</f>
        <v>3290.6614845321087</v>
      </c>
      <c r="I142" s="22">
        <f>74.2+M142</f>
        <v>80.83</v>
      </c>
      <c r="J142" s="11">
        <f t="shared" ref="J142:J147" si="102">F142</f>
        <v>35.478830021909531</v>
      </c>
      <c r="K142" s="10">
        <f t="shared" ref="K142:K150" si="103">J142*1.2735</f>
        <v>45.18229003290179</v>
      </c>
      <c r="L142" s="12">
        <f>I142*K142</f>
        <v>3652.0845033594514</v>
      </c>
      <c r="M142" s="11">
        <f>80.83-74.2</f>
        <v>6.6299999999999955</v>
      </c>
      <c r="N142" s="11">
        <f t="shared" ref="N142:N150" si="104">J142</f>
        <v>35.478830021909531</v>
      </c>
      <c r="O142" s="10">
        <f t="shared" ref="O142:O150" si="105">N142*1.2735</f>
        <v>45.18229003290179</v>
      </c>
      <c r="P142" s="12">
        <f t="shared" si="58"/>
        <v>299.55858291813865</v>
      </c>
      <c r="Q142" s="148"/>
      <c r="R142" s="74"/>
      <c r="S142" s="14">
        <f>F142-'[1]CORREÇÃO DOS ITENS DIVERGENTES'!$P136</f>
        <v>0</v>
      </c>
      <c r="T142" s="12">
        <f t="shared" si="51"/>
        <v>3290.6614845321087</v>
      </c>
    </row>
    <row r="143" spans="1:20" ht="22.5" hidden="1">
      <c r="A143" s="118">
        <v>17002000</v>
      </c>
      <c r="B143" s="89" t="s">
        <v>202</v>
      </c>
      <c r="C143" s="89" t="s">
        <v>203</v>
      </c>
      <c r="D143" s="90" t="s">
        <v>102</v>
      </c>
      <c r="E143" s="91">
        <v>109.41</v>
      </c>
      <c r="F143" s="11">
        <f>VLOOKUP(A143,'[1]CORREÇÃO DOS ITENS DIVERGENTES'!$A$13:$G$490,7)</f>
        <v>21.251819183123807</v>
      </c>
      <c r="G143" s="91">
        <f t="shared" si="52"/>
        <v>26.564773978904761</v>
      </c>
      <c r="H143" s="12">
        <f t="shared" si="101"/>
        <v>2906.45192103197</v>
      </c>
      <c r="I143" s="22">
        <f>109.41+M143</f>
        <v>233.9</v>
      </c>
      <c r="J143" s="11">
        <f t="shared" si="102"/>
        <v>21.251819183123807</v>
      </c>
      <c r="K143" s="10">
        <f t="shared" si="103"/>
        <v>27.06419172970817</v>
      </c>
      <c r="L143" s="12">
        <f t="shared" ref="L143:L150" si="106">I143*K143</f>
        <v>6330.3144455787415</v>
      </c>
      <c r="M143" s="11">
        <f>233.9-109.41</f>
        <v>124.49000000000001</v>
      </c>
      <c r="N143" s="11">
        <f t="shared" si="104"/>
        <v>21.251819183123807</v>
      </c>
      <c r="O143" s="10">
        <f t="shared" si="105"/>
        <v>27.06419172970817</v>
      </c>
      <c r="P143" s="12">
        <f t="shared" si="58"/>
        <v>3369.2212284313705</v>
      </c>
      <c r="Q143" s="148"/>
      <c r="R143" s="74"/>
      <c r="S143" s="14">
        <f>F143-'[1]CORREÇÃO DOS ITENS DIVERGENTES'!$P137</f>
        <v>0</v>
      </c>
      <c r="T143" s="12">
        <f t="shared" si="51"/>
        <v>2906.45192103197</v>
      </c>
    </row>
    <row r="144" spans="1:20" hidden="1">
      <c r="A144" s="118">
        <v>17003000</v>
      </c>
      <c r="B144" s="89" t="s">
        <v>42</v>
      </c>
      <c r="C144" s="89" t="s">
        <v>43</v>
      </c>
      <c r="D144" s="90" t="s">
        <v>33</v>
      </c>
      <c r="E144" s="91">
        <v>139.19999999999999</v>
      </c>
      <c r="F144" s="11">
        <f>VLOOKUP(A144,'[1]CORREÇÃO DOS ITENS DIVERGENTES'!$A$13:$G$490,7)</f>
        <v>1.6408958885133158</v>
      </c>
      <c r="G144" s="91">
        <f t="shared" si="52"/>
        <v>2.051119860641645</v>
      </c>
      <c r="H144" s="12">
        <f t="shared" si="101"/>
        <v>285.51588460131694</v>
      </c>
      <c r="I144" s="22">
        <v>139.19999999999999</v>
      </c>
      <c r="J144" s="11">
        <f t="shared" si="102"/>
        <v>1.6408958885133158</v>
      </c>
      <c r="K144" s="10">
        <f t="shared" si="103"/>
        <v>2.0896809140217076</v>
      </c>
      <c r="L144" s="12">
        <f t="shared" si="106"/>
        <v>290.88358323182166</v>
      </c>
      <c r="M144" s="11">
        <v>0</v>
      </c>
      <c r="N144" s="11">
        <f t="shared" si="104"/>
        <v>1.6408958885133158</v>
      </c>
      <c r="O144" s="10">
        <f t="shared" si="105"/>
        <v>2.0896809140217076</v>
      </c>
      <c r="P144" s="12">
        <f t="shared" si="58"/>
        <v>0</v>
      </c>
      <c r="Q144" s="148"/>
      <c r="R144" s="74"/>
      <c r="S144" s="14">
        <f>F144-'[1]CORREÇÃO DOS ITENS DIVERGENTES'!$P138</f>
        <v>0</v>
      </c>
      <c r="T144" s="12">
        <f t="shared" ref="T144:T207" si="107">E144*G144</f>
        <v>285.51588460131694</v>
      </c>
    </row>
    <row r="145" spans="1:20" hidden="1">
      <c r="A145" s="118">
        <v>17004000</v>
      </c>
      <c r="B145" s="89" t="s">
        <v>60</v>
      </c>
      <c r="C145" s="89" t="s">
        <v>61</v>
      </c>
      <c r="D145" s="90" t="s">
        <v>22</v>
      </c>
      <c r="E145" s="91">
        <v>1167.81</v>
      </c>
      <c r="F145" s="11">
        <f>VLOOKUP(A145,'[1]CORREÇÃO DOS ITENS DIVERGENTES'!$A$13:$G$490,7)</f>
        <v>1.7828112086009535</v>
      </c>
      <c r="G145" s="91">
        <f t="shared" si="52"/>
        <v>2.228514010751192</v>
      </c>
      <c r="H145" s="12">
        <f t="shared" si="101"/>
        <v>2602.4809468953495</v>
      </c>
      <c r="I145" s="22">
        <v>1167.81</v>
      </c>
      <c r="J145" s="11">
        <f t="shared" si="102"/>
        <v>1.7828112086009535</v>
      </c>
      <c r="K145" s="10">
        <f t="shared" si="103"/>
        <v>2.2704100741533146</v>
      </c>
      <c r="L145" s="12">
        <f t="shared" si="106"/>
        <v>2651.4075886969822</v>
      </c>
      <c r="M145" s="11">
        <v>0</v>
      </c>
      <c r="N145" s="11">
        <f t="shared" si="104"/>
        <v>1.7828112086009535</v>
      </c>
      <c r="O145" s="10">
        <f t="shared" si="105"/>
        <v>2.2704100741533146</v>
      </c>
      <c r="P145" s="12">
        <f t="shared" si="58"/>
        <v>0</v>
      </c>
      <c r="Q145" s="148"/>
      <c r="R145" s="74"/>
      <c r="S145" s="14">
        <f>F145-'[1]CORREÇÃO DOS ITENS DIVERGENTES'!$P139</f>
        <v>0</v>
      </c>
      <c r="T145" s="12">
        <f t="shared" si="107"/>
        <v>2602.4809468953495</v>
      </c>
    </row>
    <row r="146" spans="1:20" hidden="1">
      <c r="A146" s="118">
        <v>17005000</v>
      </c>
      <c r="B146" s="89" t="s">
        <v>204</v>
      </c>
      <c r="C146" s="89" t="s">
        <v>188</v>
      </c>
      <c r="D146" s="90" t="s">
        <v>33</v>
      </c>
      <c r="E146" s="91">
        <v>26.25</v>
      </c>
      <c r="F146" s="11">
        <f>VLOOKUP(A146,'[1]CORREÇÃO DOS ITENS DIVERGENTES'!$A$13:$G$490,7)</f>
        <v>223.17958025282189</v>
      </c>
      <c r="G146" s="91">
        <f t="shared" si="52"/>
        <v>278.97447531602734</v>
      </c>
      <c r="H146" s="12">
        <f t="shared" si="101"/>
        <v>7323.0799770457179</v>
      </c>
      <c r="I146" s="22">
        <v>26.25</v>
      </c>
      <c r="J146" s="11">
        <f t="shared" si="102"/>
        <v>223.17958025282189</v>
      </c>
      <c r="K146" s="10">
        <f t="shared" si="103"/>
        <v>284.21919545196869</v>
      </c>
      <c r="L146" s="12">
        <f t="shared" si="106"/>
        <v>7460.7538806141783</v>
      </c>
      <c r="M146" s="11">
        <v>0</v>
      </c>
      <c r="N146" s="11">
        <f t="shared" si="104"/>
        <v>223.17958025282189</v>
      </c>
      <c r="O146" s="10">
        <f t="shared" si="105"/>
        <v>284.21919545196869</v>
      </c>
      <c r="P146" s="12">
        <f t="shared" si="58"/>
        <v>0</v>
      </c>
      <c r="Q146" s="148"/>
      <c r="R146" s="74"/>
      <c r="S146" s="14">
        <f>F146-'[1]CORREÇÃO DOS ITENS DIVERGENTES'!$P140</f>
        <v>0</v>
      </c>
      <c r="T146" s="12">
        <f t="shared" si="107"/>
        <v>7323.0799770457179</v>
      </c>
    </row>
    <row r="147" spans="1:20" ht="22.5" hidden="1">
      <c r="A147" s="118">
        <v>17006000</v>
      </c>
      <c r="B147" s="89" t="s">
        <v>205</v>
      </c>
      <c r="C147" s="89" t="s">
        <v>206</v>
      </c>
      <c r="D147" s="90" t="s">
        <v>22</v>
      </c>
      <c r="E147" s="91">
        <v>525</v>
      </c>
      <c r="F147" s="11">
        <f>VLOOKUP(A147,'[1]CORREÇÃO DOS ITENS DIVERGENTES'!$A$13:$G$490,7)</f>
        <v>29.270034768075362</v>
      </c>
      <c r="G147" s="91">
        <f t="shared" ref="G147:G210" si="108">F147*1.25</f>
        <v>36.587543460094203</v>
      </c>
      <c r="H147" s="12">
        <f t="shared" si="101"/>
        <v>19208.460316549455</v>
      </c>
      <c r="I147" s="22">
        <v>525</v>
      </c>
      <c r="J147" s="11">
        <f t="shared" si="102"/>
        <v>29.270034768075362</v>
      </c>
      <c r="K147" s="10">
        <f t="shared" si="103"/>
        <v>37.275389277143979</v>
      </c>
      <c r="L147" s="12">
        <f t="shared" si="106"/>
        <v>19569.579370500589</v>
      </c>
      <c r="M147" s="11">
        <v>0</v>
      </c>
      <c r="N147" s="11">
        <f t="shared" si="104"/>
        <v>29.270034768075362</v>
      </c>
      <c r="O147" s="10">
        <f t="shared" si="105"/>
        <v>37.275389277143979</v>
      </c>
      <c r="P147" s="12">
        <f t="shared" si="58"/>
        <v>0</v>
      </c>
      <c r="Q147" s="148"/>
      <c r="R147" s="74"/>
      <c r="S147" s="14">
        <f>F147-'[1]CORREÇÃO DOS ITENS DIVERGENTES'!$P141</f>
        <v>0</v>
      </c>
      <c r="T147" s="12">
        <f t="shared" si="107"/>
        <v>19208.460316549455</v>
      </c>
    </row>
    <row r="148" spans="1:20" ht="22.5" hidden="1">
      <c r="A148" s="118">
        <v>17007000</v>
      </c>
      <c r="B148" s="89" t="s">
        <v>207</v>
      </c>
      <c r="C148" s="89" t="s">
        <v>208</v>
      </c>
      <c r="D148" s="90" t="s">
        <v>22</v>
      </c>
      <c r="E148" s="91">
        <v>10.08</v>
      </c>
      <c r="F148" s="11">
        <f>VLOOKUP(A148,'[1]CORREÇÃO DOS ITENS DIVERGENTES'!$A$13:$G$490,7)</f>
        <v>88.102804651906837</v>
      </c>
      <c r="G148" s="91">
        <f t="shared" si="108"/>
        <v>110.12850581488354</v>
      </c>
      <c r="H148" s="12">
        <f t="shared" si="101"/>
        <v>1110.0953386140261</v>
      </c>
      <c r="I148" s="22">
        <v>10.08</v>
      </c>
      <c r="J148" s="11">
        <f>67.1/1.2735</f>
        <v>52.68943855516293</v>
      </c>
      <c r="K148" s="10">
        <v>67.099999999999994</v>
      </c>
      <c r="L148" s="12">
        <f t="shared" si="106"/>
        <v>676.36799999999994</v>
      </c>
      <c r="M148" s="11">
        <v>10.08</v>
      </c>
      <c r="N148" s="11">
        <f>J148-F148</f>
        <v>-35.413366096743907</v>
      </c>
      <c r="O148" s="10">
        <f t="shared" si="105"/>
        <v>-45.098921724203372</v>
      </c>
      <c r="P148" s="12">
        <f t="shared" si="58"/>
        <v>-454.59713097997002</v>
      </c>
      <c r="Q148" s="148"/>
      <c r="R148" s="74"/>
      <c r="S148" s="14">
        <f>F148-'[1]CORREÇÃO DOS ITENS DIVERGENTES'!$P142</f>
        <v>0</v>
      </c>
      <c r="T148" s="12">
        <f t="shared" si="107"/>
        <v>1110.0953386140261</v>
      </c>
    </row>
    <row r="149" spans="1:20" ht="29.25" hidden="1" customHeight="1">
      <c r="A149" s="118">
        <v>17008000</v>
      </c>
      <c r="B149" s="89" t="s">
        <v>209</v>
      </c>
      <c r="C149" s="89" t="s">
        <v>210</v>
      </c>
      <c r="D149" s="90" t="s">
        <v>22</v>
      </c>
      <c r="E149" s="91">
        <v>60.46</v>
      </c>
      <c r="F149" s="11">
        <f>VLOOKUP(A149,'[1]CORREÇÃO DOS ITENS DIVERGENTES'!$A$13:$G$490,7)</f>
        <v>88.102804651906837</v>
      </c>
      <c r="G149" s="91">
        <f t="shared" si="108"/>
        <v>110.12850581488354</v>
      </c>
      <c r="H149" s="12">
        <f t="shared" si="101"/>
        <v>6658.3694615678587</v>
      </c>
      <c r="I149" s="22">
        <v>60.46</v>
      </c>
      <c r="J149" s="11">
        <f>67.1/1.2735</f>
        <v>52.68943855516293</v>
      </c>
      <c r="K149" s="10">
        <v>67.099999999999994</v>
      </c>
      <c r="L149" s="12">
        <f t="shared" si="106"/>
        <v>4056.8659999999995</v>
      </c>
      <c r="M149" s="11">
        <v>60.46</v>
      </c>
      <c r="N149" s="11">
        <f>J149-F149</f>
        <v>-35.413366096743907</v>
      </c>
      <c r="O149" s="10">
        <f t="shared" si="105"/>
        <v>-45.098921724203372</v>
      </c>
      <c r="P149" s="12">
        <f t="shared" si="58"/>
        <v>-2726.6808074453361</v>
      </c>
      <c r="Q149" s="148"/>
      <c r="R149" s="74"/>
      <c r="S149" s="14">
        <f>F149-'[1]CORREÇÃO DOS ITENS DIVERGENTES'!$P143</f>
        <v>0</v>
      </c>
      <c r="T149" s="12">
        <f t="shared" si="107"/>
        <v>6658.3694615678587</v>
      </c>
    </row>
    <row r="150" spans="1:20" ht="43.5" hidden="1" customHeight="1">
      <c r="A150" s="118">
        <v>17009000</v>
      </c>
      <c r="B150" s="89" t="s">
        <v>211</v>
      </c>
      <c r="C150" s="89" t="s">
        <v>212</v>
      </c>
      <c r="D150" s="90" t="s">
        <v>22</v>
      </c>
      <c r="E150" s="91">
        <v>498.07</v>
      </c>
      <c r="F150" s="11">
        <f>VLOOKUP(A150,'[1]CORREÇÃO DOS ITENS DIVERGENTES'!$A$13:$G$490,7)</f>
        <v>44.525931677496459</v>
      </c>
      <c r="G150" s="91">
        <f t="shared" si="108"/>
        <v>55.657414596870574</v>
      </c>
      <c r="H150" s="12">
        <f t="shared" si="101"/>
        <v>27721.288488263326</v>
      </c>
      <c r="I150" s="22">
        <f>498.07+M150</f>
        <v>722</v>
      </c>
      <c r="J150" s="11">
        <f>F150</f>
        <v>44.525931677496459</v>
      </c>
      <c r="K150" s="10">
        <f t="shared" si="103"/>
        <v>56.70377399129174</v>
      </c>
      <c r="L150" s="12">
        <f t="shared" si="106"/>
        <v>40940.124821712634</v>
      </c>
      <c r="M150" s="11">
        <f>722-498.07</f>
        <v>223.93</v>
      </c>
      <c r="N150" s="11">
        <f t="shared" si="104"/>
        <v>44.525931677496459</v>
      </c>
      <c r="O150" s="10">
        <f t="shared" si="105"/>
        <v>56.70377399129174</v>
      </c>
      <c r="P150" s="12">
        <f t="shared" si="58"/>
        <v>12697.676109869959</v>
      </c>
      <c r="Q150" s="148"/>
      <c r="R150" s="74"/>
      <c r="S150" s="14">
        <f>F150-'[1]CORREÇÃO DOS ITENS DIVERGENTES'!$P144</f>
        <v>0</v>
      </c>
      <c r="T150" s="12">
        <f t="shared" si="107"/>
        <v>27721.288488263326</v>
      </c>
    </row>
    <row r="151" spans="1:20" s="8" customFormat="1" ht="15.75" hidden="1" customHeight="1">
      <c r="A151" s="117">
        <v>17100000</v>
      </c>
      <c r="B151" s="98"/>
      <c r="C151" s="187" t="s">
        <v>213</v>
      </c>
      <c r="D151" s="187"/>
      <c r="E151" s="187"/>
      <c r="F151" s="187"/>
      <c r="G151" s="91">
        <f t="shared" si="108"/>
        <v>0</v>
      </c>
      <c r="H151" s="87">
        <f>SUM(H152:H156)</f>
        <v>32899.77607909168</v>
      </c>
      <c r="I151" s="159"/>
      <c r="J151" s="159"/>
      <c r="K151" s="27"/>
      <c r="L151" s="26">
        <f>SUM(L152:L156)</f>
        <v>57374.721735910876</v>
      </c>
      <c r="M151" s="159"/>
      <c r="N151" s="159"/>
      <c r="O151" s="16"/>
      <c r="P151" s="17">
        <f>SUM(P152:P156)</f>
        <v>23856.429866532275</v>
      </c>
      <c r="Q151" s="160">
        <f t="shared" ref="Q151" si="109">L151+P151</f>
        <v>81231.151602443148</v>
      </c>
      <c r="R151" s="159"/>
      <c r="S151" s="159"/>
      <c r="T151" s="12">
        <f t="shared" si="107"/>
        <v>0</v>
      </c>
    </row>
    <row r="152" spans="1:20" ht="42" hidden="1" customHeight="1">
      <c r="A152" s="118">
        <v>17100001</v>
      </c>
      <c r="B152" s="89" t="s">
        <v>211</v>
      </c>
      <c r="C152" s="89" t="s">
        <v>212</v>
      </c>
      <c r="D152" s="90" t="s">
        <v>22</v>
      </c>
      <c r="E152" s="91">
        <v>468.6</v>
      </c>
      <c r="F152" s="11">
        <f>VLOOKUP(A152,'[1]CORREÇÃO DOS ITENS DIVERGENTES'!$A$13:$G$490,7)</f>
        <v>44.525931677496459</v>
      </c>
      <c r="G152" s="91">
        <f t="shared" si="108"/>
        <v>55.657414596870574</v>
      </c>
      <c r="H152" s="12">
        <f>E152*G152</f>
        <v>26081.064480093552</v>
      </c>
      <c r="I152" s="22">
        <f>468.6+M152</f>
        <v>930</v>
      </c>
      <c r="J152" s="11">
        <f>F152</f>
        <v>44.525931677496459</v>
      </c>
      <c r="K152" s="10">
        <f t="shared" ref="K152:K156" si="110">J152*1.2735</f>
        <v>56.70377399129174</v>
      </c>
      <c r="L152" s="12">
        <f>I152*K152</f>
        <v>52734.50981190132</v>
      </c>
      <c r="M152" s="11">
        <f>930-468.6</f>
        <v>461.4</v>
      </c>
      <c r="N152" s="11">
        <f t="shared" ref="N152:N156" si="111">J152</f>
        <v>44.525931677496459</v>
      </c>
      <c r="O152" s="10">
        <f t="shared" ref="O152:O156" si="112">N152*1.2735</f>
        <v>56.70377399129174</v>
      </c>
      <c r="P152" s="12">
        <f t="shared" ref="P152:P189" si="113">M152*O152</f>
        <v>26163.121319582009</v>
      </c>
      <c r="Q152" s="148"/>
      <c r="R152" s="74"/>
      <c r="S152" s="14">
        <f>F152-'[1]CORREÇÃO DOS ITENS DIVERGENTES'!$P146</f>
        <v>0</v>
      </c>
      <c r="T152" s="12">
        <f t="shared" si="107"/>
        <v>26081.064480093552</v>
      </c>
    </row>
    <row r="153" spans="1:20" ht="28.5" hidden="1" customHeight="1">
      <c r="A153" s="118">
        <v>17100002</v>
      </c>
      <c r="B153" s="89" t="s">
        <v>202</v>
      </c>
      <c r="C153" s="89" t="s">
        <v>203</v>
      </c>
      <c r="D153" s="90" t="s">
        <v>102</v>
      </c>
      <c r="E153" s="91">
        <v>66</v>
      </c>
      <c r="F153" s="11">
        <f>VLOOKUP(A153,'[1]CORREÇÃO DOS ITENS DIVERGENTES'!$A$13:$G$490,7)</f>
        <v>21.251819183123807</v>
      </c>
      <c r="G153" s="91">
        <f t="shared" si="108"/>
        <v>26.564773978904761</v>
      </c>
      <c r="H153" s="12">
        <f>E153*G153</f>
        <v>1753.2750826077142</v>
      </c>
      <c r="I153" s="22">
        <v>66</v>
      </c>
      <c r="J153" s="11">
        <f>F153</f>
        <v>21.251819183123807</v>
      </c>
      <c r="K153" s="10">
        <f t="shared" si="110"/>
        <v>27.06419172970817</v>
      </c>
      <c r="L153" s="12">
        <f t="shared" ref="L153:L156" si="114">I153*K153</f>
        <v>1786.2366541607394</v>
      </c>
      <c r="M153" s="11">
        <v>0</v>
      </c>
      <c r="N153" s="11">
        <f t="shared" si="111"/>
        <v>21.251819183123807</v>
      </c>
      <c r="O153" s="10">
        <f t="shared" si="112"/>
        <v>27.06419172970817</v>
      </c>
      <c r="P153" s="12">
        <f t="shared" si="113"/>
        <v>0</v>
      </c>
      <c r="Q153" s="148"/>
      <c r="R153" s="74"/>
      <c r="S153" s="14">
        <f>F153-'[1]CORREÇÃO DOS ITENS DIVERGENTES'!$P147</f>
        <v>0</v>
      </c>
      <c r="T153" s="12">
        <f t="shared" si="107"/>
        <v>1753.2750826077142</v>
      </c>
    </row>
    <row r="154" spans="1:20" ht="39.75" hidden="1" customHeight="1">
      <c r="A154" s="118">
        <v>17100003</v>
      </c>
      <c r="B154" s="89" t="s">
        <v>214</v>
      </c>
      <c r="C154" s="89" t="s">
        <v>215</v>
      </c>
      <c r="D154" s="90" t="s">
        <v>102</v>
      </c>
      <c r="E154" s="91">
        <v>68.8</v>
      </c>
      <c r="F154" s="11">
        <f>VLOOKUP(A154,'[1]CORREÇÃO DOS ITENS DIVERGENTES'!$A$13:$G$490,7)</f>
        <v>21.251819183123807</v>
      </c>
      <c r="G154" s="91">
        <f t="shared" si="108"/>
        <v>26.564773978904761</v>
      </c>
      <c r="H154" s="12">
        <f>E154*G154</f>
        <v>1827.6564497486474</v>
      </c>
      <c r="I154" s="22">
        <v>68.8</v>
      </c>
      <c r="J154" s="11">
        <f>F154</f>
        <v>21.251819183123807</v>
      </c>
      <c r="K154" s="10">
        <f t="shared" si="110"/>
        <v>27.06419172970817</v>
      </c>
      <c r="L154" s="12">
        <f t="shared" si="114"/>
        <v>1862.0163910039221</v>
      </c>
      <c r="M154" s="11">
        <v>0</v>
      </c>
      <c r="N154" s="11">
        <f t="shared" si="111"/>
        <v>21.251819183123807</v>
      </c>
      <c r="O154" s="10">
        <f t="shared" si="112"/>
        <v>27.06419172970817</v>
      </c>
      <c r="P154" s="12">
        <f t="shared" si="113"/>
        <v>0</v>
      </c>
      <c r="Q154" s="148"/>
      <c r="R154" s="74"/>
      <c r="S154" s="14">
        <f>F154-'[1]CORREÇÃO DOS ITENS DIVERGENTES'!$P148</f>
        <v>0</v>
      </c>
      <c r="T154" s="12">
        <f t="shared" si="107"/>
        <v>1827.6564497486474</v>
      </c>
    </row>
    <row r="155" spans="1:20" ht="20.25" hidden="1" customHeight="1">
      <c r="A155" s="118">
        <v>17100005</v>
      </c>
      <c r="B155" s="89" t="s">
        <v>216</v>
      </c>
      <c r="C155" s="89" t="s">
        <v>217</v>
      </c>
      <c r="D155" s="90" t="s">
        <v>19</v>
      </c>
      <c r="E155" s="91">
        <v>76</v>
      </c>
      <c r="F155" s="11">
        <f>VLOOKUP(A155,'[1]CORREÇÃO DOS ITENS DIVERGENTES'!$A$13:$G$490,7)</f>
        <v>23.832904067217726</v>
      </c>
      <c r="G155" s="91">
        <f t="shared" si="108"/>
        <v>29.791130084022157</v>
      </c>
      <c r="H155" s="12">
        <f>E155*G155</f>
        <v>2264.1258863856838</v>
      </c>
      <c r="I155" s="13">
        <v>0</v>
      </c>
      <c r="J155" s="11">
        <f>F155</f>
        <v>23.832904067217726</v>
      </c>
      <c r="K155" s="10">
        <f t="shared" si="110"/>
        <v>30.351203329601777</v>
      </c>
      <c r="L155" s="12">
        <f t="shared" si="114"/>
        <v>0</v>
      </c>
      <c r="M155" s="11">
        <f>I155-E155</f>
        <v>-76</v>
      </c>
      <c r="N155" s="11">
        <f t="shared" si="111"/>
        <v>23.832904067217726</v>
      </c>
      <c r="O155" s="10">
        <f t="shared" si="112"/>
        <v>30.351203329601777</v>
      </c>
      <c r="P155" s="12">
        <f t="shared" si="113"/>
        <v>-2306.6914530497352</v>
      </c>
      <c r="Q155" s="148"/>
      <c r="R155" s="74"/>
      <c r="S155" s="14">
        <f>F155-'[1]CORREÇÃO DOS ITENS DIVERGENTES'!$P149</f>
        <v>0</v>
      </c>
      <c r="T155" s="12">
        <f t="shared" si="107"/>
        <v>2264.1258863856838</v>
      </c>
    </row>
    <row r="156" spans="1:20" ht="29.25" hidden="1" customHeight="1">
      <c r="A156" s="118">
        <v>17100006</v>
      </c>
      <c r="B156" s="89" t="s">
        <v>218</v>
      </c>
      <c r="C156" s="89" t="s">
        <v>219</v>
      </c>
      <c r="D156" s="90" t="s">
        <v>19</v>
      </c>
      <c r="E156" s="91">
        <v>247</v>
      </c>
      <c r="F156" s="11">
        <f>VLOOKUP(A156,'[1]CORREÇÃO DOS ITENS DIVERGENTES'!$A$13:$G$490,7)</f>
        <v>3.1535358064974286</v>
      </c>
      <c r="G156" s="91">
        <f t="shared" si="108"/>
        <v>3.9419197581217857</v>
      </c>
      <c r="H156" s="12">
        <f>E156*G156</f>
        <v>973.65418025608108</v>
      </c>
      <c r="I156" s="13">
        <v>247</v>
      </c>
      <c r="J156" s="11">
        <f>F156</f>
        <v>3.1535358064974286</v>
      </c>
      <c r="K156" s="10">
        <f t="shared" si="110"/>
        <v>4.0160278495744759</v>
      </c>
      <c r="L156" s="12">
        <f t="shared" si="114"/>
        <v>991.95887884489559</v>
      </c>
      <c r="M156" s="11">
        <v>0</v>
      </c>
      <c r="N156" s="11">
        <f t="shared" si="111"/>
        <v>3.1535358064974286</v>
      </c>
      <c r="O156" s="10">
        <f t="shared" si="112"/>
        <v>4.0160278495744759</v>
      </c>
      <c r="P156" s="12">
        <f t="shared" si="113"/>
        <v>0</v>
      </c>
      <c r="Q156" s="148"/>
      <c r="R156" s="74"/>
      <c r="S156" s="14">
        <f>F156-'[1]CORREÇÃO DOS ITENS DIVERGENTES'!$P150</f>
        <v>0</v>
      </c>
      <c r="T156" s="12">
        <f t="shared" si="107"/>
        <v>973.65418025608108</v>
      </c>
    </row>
    <row r="157" spans="1:20" s="8" customFormat="1" ht="14.25" customHeight="1">
      <c r="A157" s="139">
        <v>11000000</v>
      </c>
      <c r="B157" s="139"/>
      <c r="C157" s="139" t="s">
        <v>220</v>
      </c>
      <c r="D157" s="139"/>
      <c r="E157" s="139"/>
      <c r="F157" s="139"/>
      <c r="G157" s="139"/>
      <c r="H157" s="140">
        <f>SUM(H158)</f>
        <v>11136.061299999998</v>
      </c>
      <c r="I157" s="159"/>
      <c r="J157" s="159"/>
      <c r="K157" s="27"/>
      <c r="L157" s="26">
        <f>SUM(L158)</f>
        <v>18638.331154200001</v>
      </c>
      <c r="M157" s="159"/>
      <c r="N157" s="159"/>
      <c r="O157" s="16"/>
      <c r="P157" s="17">
        <f>SUM(P158:P159)</f>
        <v>4456.5570886500045</v>
      </c>
      <c r="Q157" s="160">
        <f t="shared" ref="Q157" si="115">L157+P157</f>
        <v>23094.888242850007</v>
      </c>
      <c r="R157" s="159"/>
      <c r="S157" s="159"/>
      <c r="T157" s="140">
        <f>SUM(T158)</f>
        <v>13920.076624999998</v>
      </c>
    </row>
    <row r="158" spans="1:20" ht="22.5">
      <c r="A158" s="88">
        <v>11001000</v>
      </c>
      <c r="B158" s="89" t="s">
        <v>221</v>
      </c>
      <c r="C158" s="89" t="s">
        <v>222</v>
      </c>
      <c r="D158" s="90" t="s">
        <v>22</v>
      </c>
      <c r="E158" s="91">
        <f>143.17-24-(13*1.2*0.925+6*1*0.925)</f>
        <v>99.189999999999984</v>
      </c>
      <c r="F158" s="35">
        <v>112.27</v>
      </c>
      <c r="G158" s="91">
        <f t="shared" si="108"/>
        <v>140.33750000000001</v>
      </c>
      <c r="H158" s="12">
        <f>E158*F158</f>
        <v>11136.061299999998</v>
      </c>
      <c r="I158" s="22">
        <v>130.36000000000001</v>
      </c>
      <c r="J158" s="11">
        <f t="shared" ref="J158:J170" si="116">F158</f>
        <v>112.27</v>
      </c>
      <c r="K158" s="10">
        <f t="shared" ref="K158:K170" si="117">J158*1.2735</f>
        <v>142.97584499999999</v>
      </c>
      <c r="L158" s="12">
        <f>I158*K158</f>
        <v>18638.331154200001</v>
      </c>
      <c r="M158" s="11">
        <f>I158-E158</f>
        <v>31.17000000000003</v>
      </c>
      <c r="N158" s="11">
        <f t="shared" ref="N158:N170" si="118">J158</f>
        <v>112.27</v>
      </c>
      <c r="O158" s="10">
        <f t="shared" ref="O158:O170" si="119">N158*1.2735</f>
        <v>142.97584499999999</v>
      </c>
      <c r="P158" s="12">
        <f t="shared" ref="P158" si="120">M158*O158</f>
        <v>4456.5570886500045</v>
      </c>
      <c r="Q158" s="148"/>
      <c r="R158" s="74" t="s">
        <v>223</v>
      </c>
      <c r="S158" s="14">
        <f>F158-'[1]CORREÇÃO DOS ITENS DIVERGENTES'!$P153</f>
        <v>87.567864597245489</v>
      </c>
      <c r="T158" s="12">
        <f t="shared" si="107"/>
        <v>13920.076624999998</v>
      </c>
    </row>
    <row r="159" spans="1:20" ht="22.5" hidden="1">
      <c r="A159" s="118">
        <v>18001000</v>
      </c>
      <c r="B159" s="89" t="s">
        <v>224</v>
      </c>
      <c r="C159" s="89" t="s">
        <v>225</v>
      </c>
      <c r="D159" s="90" t="s">
        <v>102</v>
      </c>
      <c r="E159" s="91">
        <v>26.23</v>
      </c>
      <c r="F159" s="11">
        <f>VLOOKUP(A159,'[1]CORREÇÃO DOS ITENS DIVERGENTES'!$A$13:$G$490,7)</f>
        <v>39.390371031825055</v>
      </c>
      <c r="G159" s="91">
        <f t="shared" si="108"/>
        <v>49.237963789781318</v>
      </c>
      <c r="H159" s="12">
        <f t="shared" ref="H159:H170" si="121">E159*G159</f>
        <v>1291.511790205964</v>
      </c>
      <c r="I159" s="22">
        <v>26.23</v>
      </c>
      <c r="J159" s="11">
        <f t="shared" si="116"/>
        <v>39.390371031825055</v>
      </c>
      <c r="K159" s="10">
        <f t="shared" si="117"/>
        <v>50.163637509029208</v>
      </c>
      <c r="L159" s="12">
        <f>I159*K159</f>
        <v>1315.7922118618362</v>
      </c>
      <c r="M159" s="11">
        <v>0</v>
      </c>
      <c r="N159" s="11">
        <f t="shared" si="118"/>
        <v>39.390371031825055</v>
      </c>
      <c r="O159" s="10">
        <f t="shared" si="119"/>
        <v>50.163637509029208</v>
      </c>
      <c r="P159" s="12">
        <f t="shared" si="113"/>
        <v>0</v>
      </c>
      <c r="Q159" s="148"/>
      <c r="R159" s="74"/>
      <c r="S159" s="14">
        <f>F159-'[1]CORREÇÃO DOS ITENS DIVERGENTES'!$P152</f>
        <v>0</v>
      </c>
      <c r="T159" s="12">
        <f t="shared" si="107"/>
        <v>1291.511790205964</v>
      </c>
    </row>
    <row r="160" spans="1:20" ht="22.5" hidden="1">
      <c r="A160" s="122">
        <v>18002000</v>
      </c>
      <c r="B160" s="89" t="s">
        <v>226</v>
      </c>
      <c r="C160" s="89" t="s">
        <v>227</v>
      </c>
      <c r="D160" s="90" t="s">
        <v>22</v>
      </c>
      <c r="E160" s="91">
        <v>14.96</v>
      </c>
      <c r="F160" s="11">
        <f>VLOOKUP(A160,'[1]CORREÇÃO DOS ITENS DIVERGENTES'!$A$13:$G$490,7)</f>
        <v>24.702135402754511</v>
      </c>
      <c r="G160" s="91">
        <f t="shared" si="108"/>
        <v>30.877669253443138</v>
      </c>
      <c r="H160" s="12">
        <f t="shared" si="121"/>
        <v>461.92993203150934</v>
      </c>
      <c r="I160" s="22">
        <v>14.96</v>
      </c>
      <c r="J160" s="11">
        <f t="shared" si="116"/>
        <v>24.702135402754511</v>
      </c>
      <c r="K160" s="10">
        <f t="shared" si="117"/>
        <v>31.458169435407871</v>
      </c>
      <c r="L160" s="12">
        <f t="shared" ref="L160:L170" si="122">I160*K160</f>
        <v>470.61421475370179</v>
      </c>
      <c r="M160" s="11">
        <v>0</v>
      </c>
      <c r="N160" s="11">
        <f t="shared" si="118"/>
        <v>24.702135402754511</v>
      </c>
      <c r="O160" s="10">
        <f t="shared" si="119"/>
        <v>31.458169435407871</v>
      </c>
      <c r="P160" s="12">
        <f t="shared" si="113"/>
        <v>0</v>
      </c>
      <c r="Q160" s="148"/>
      <c r="R160" s="74"/>
      <c r="S160" s="14">
        <f>F160-'[1]CORREÇÃO DOS ITENS DIVERGENTES'!$P153</f>
        <v>0</v>
      </c>
      <c r="T160" s="12">
        <f t="shared" si="107"/>
        <v>461.92993203150934</v>
      </c>
    </row>
    <row r="161" spans="1:20" hidden="1">
      <c r="A161" s="118">
        <v>18003000</v>
      </c>
      <c r="B161" s="89" t="s">
        <v>51</v>
      </c>
      <c r="C161" s="89" t="s">
        <v>52</v>
      </c>
      <c r="D161" s="90" t="s">
        <v>53</v>
      </c>
      <c r="E161" s="91">
        <v>47.3</v>
      </c>
      <c r="F161" s="11">
        <f>VLOOKUP(A161,'[1]CORREÇÃO DOS ITENS DIVERGENTES'!$A$13:$G$490,7)</f>
        <v>6.4394076489765792</v>
      </c>
      <c r="G161" s="91">
        <f t="shared" si="108"/>
        <v>8.0492595612207243</v>
      </c>
      <c r="H161" s="12">
        <f t="shared" si="121"/>
        <v>380.72997724574026</v>
      </c>
      <c r="I161" s="22">
        <v>47.3</v>
      </c>
      <c r="J161" s="11">
        <f t="shared" si="116"/>
        <v>6.4394076489765792</v>
      </c>
      <c r="K161" s="10">
        <f t="shared" si="117"/>
        <v>8.2005856409716742</v>
      </c>
      <c r="L161" s="12">
        <f t="shared" si="122"/>
        <v>387.88770081796019</v>
      </c>
      <c r="M161" s="11">
        <v>0</v>
      </c>
      <c r="N161" s="11">
        <f t="shared" si="118"/>
        <v>6.4394076489765792</v>
      </c>
      <c r="O161" s="10">
        <f t="shared" si="119"/>
        <v>8.2005856409716742</v>
      </c>
      <c r="P161" s="12">
        <f t="shared" si="113"/>
        <v>0</v>
      </c>
      <c r="Q161" s="148"/>
      <c r="R161" s="74"/>
      <c r="S161" s="14">
        <f>F161-'[1]CORREÇÃO DOS ITENS DIVERGENTES'!$P154</f>
        <v>0</v>
      </c>
      <c r="T161" s="12">
        <f t="shared" si="107"/>
        <v>380.72997724574026</v>
      </c>
    </row>
    <row r="162" spans="1:20" hidden="1">
      <c r="A162" s="122">
        <v>18004000</v>
      </c>
      <c r="B162" s="89" t="s">
        <v>228</v>
      </c>
      <c r="C162" s="89" t="s">
        <v>229</v>
      </c>
      <c r="D162" s="90" t="s">
        <v>33</v>
      </c>
      <c r="E162" s="91">
        <v>1.8</v>
      </c>
      <c r="F162" s="11">
        <f>VLOOKUP(A162,'[1]CORREÇÃO DOS ITENS DIVERGENTES'!$A$13:$G$490,7)</f>
        <v>16.275913272550998</v>
      </c>
      <c r="G162" s="91">
        <f t="shared" si="108"/>
        <v>20.344891590688746</v>
      </c>
      <c r="H162" s="12">
        <f t="shared" si="121"/>
        <v>36.620804863239748</v>
      </c>
      <c r="I162" s="22">
        <v>1.8</v>
      </c>
      <c r="J162" s="11">
        <f t="shared" si="116"/>
        <v>16.275913272550998</v>
      </c>
      <c r="K162" s="10">
        <f t="shared" si="117"/>
        <v>20.727375552593696</v>
      </c>
      <c r="L162" s="12">
        <f t="shared" si="122"/>
        <v>37.309275994668653</v>
      </c>
      <c r="M162" s="11">
        <v>0</v>
      </c>
      <c r="N162" s="11">
        <f t="shared" si="118"/>
        <v>16.275913272550998</v>
      </c>
      <c r="O162" s="10">
        <f t="shared" si="119"/>
        <v>20.727375552593696</v>
      </c>
      <c r="P162" s="12">
        <f t="shared" si="113"/>
        <v>0</v>
      </c>
      <c r="Q162" s="148"/>
      <c r="R162" s="74"/>
      <c r="S162" s="14">
        <f>F162-'[1]CORREÇÃO DOS ITENS DIVERGENTES'!$P155</f>
        <v>0</v>
      </c>
      <c r="T162" s="12">
        <f t="shared" si="107"/>
        <v>36.620804863239748</v>
      </c>
    </row>
    <row r="163" spans="1:20" ht="22.5" hidden="1">
      <c r="A163" s="118">
        <v>18005000</v>
      </c>
      <c r="B163" s="89" t="s">
        <v>58</v>
      </c>
      <c r="C163" s="89" t="s">
        <v>59</v>
      </c>
      <c r="D163" s="90" t="s">
        <v>33</v>
      </c>
      <c r="E163" s="91">
        <v>28.25</v>
      </c>
      <c r="F163" s="11">
        <f>VLOOKUP(A163,'[1]CORREÇÃO DOS ITENS DIVERGENTES'!$A$13:$G$490,7)</f>
        <v>265.18651499876279</v>
      </c>
      <c r="G163" s="91">
        <f t="shared" si="108"/>
        <v>331.48314374845347</v>
      </c>
      <c r="H163" s="12">
        <f t="shared" si="121"/>
        <v>9364.3988108938102</v>
      </c>
      <c r="I163" s="22">
        <v>28.25</v>
      </c>
      <c r="J163" s="11">
        <f t="shared" si="116"/>
        <v>265.18651499876279</v>
      </c>
      <c r="K163" s="10">
        <f t="shared" si="117"/>
        <v>337.71502685092446</v>
      </c>
      <c r="L163" s="12">
        <f t="shared" si="122"/>
        <v>9540.4495085386152</v>
      </c>
      <c r="M163" s="11">
        <v>0</v>
      </c>
      <c r="N163" s="11">
        <f t="shared" si="118"/>
        <v>265.18651499876279</v>
      </c>
      <c r="O163" s="10">
        <f t="shared" si="119"/>
        <v>337.71502685092446</v>
      </c>
      <c r="P163" s="12">
        <f t="shared" si="113"/>
        <v>0</v>
      </c>
      <c r="Q163" s="148"/>
      <c r="R163" s="74"/>
      <c r="S163" s="14">
        <f>F163-'[1]CORREÇÃO DOS ITENS DIVERGENTES'!$P156</f>
        <v>0</v>
      </c>
      <c r="T163" s="12">
        <f t="shared" si="107"/>
        <v>9364.3988108938102</v>
      </c>
    </row>
    <row r="164" spans="1:20" ht="22.5" hidden="1">
      <c r="A164" s="122">
        <v>18006000</v>
      </c>
      <c r="B164" s="89" t="s">
        <v>86</v>
      </c>
      <c r="C164" s="89" t="s">
        <v>87</v>
      </c>
      <c r="D164" s="90" t="s">
        <v>22</v>
      </c>
      <c r="E164" s="91">
        <v>32.85</v>
      </c>
      <c r="F164" s="11">
        <f>VLOOKUP(A164,'[1]CORREÇÃO DOS ITENS DIVERGENTES'!$A$13:$G$490,7)</f>
        <v>44.809762317671741</v>
      </c>
      <c r="G164" s="91">
        <f t="shared" si="108"/>
        <v>56.012202897089679</v>
      </c>
      <c r="H164" s="12">
        <f t="shared" si="121"/>
        <v>1840.0008651693961</v>
      </c>
      <c r="I164" s="22">
        <v>32.85</v>
      </c>
      <c r="J164" s="11">
        <f t="shared" si="116"/>
        <v>44.809762317671741</v>
      </c>
      <c r="K164" s="10">
        <f t="shared" si="117"/>
        <v>57.065232311554965</v>
      </c>
      <c r="L164" s="12">
        <f t="shared" si="122"/>
        <v>1874.5928814345807</v>
      </c>
      <c r="M164" s="11">
        <v>26.51</v>
      </c>
      <c r="N164" s="11">
        <f t="shared" si="118"/>
        <v>44.809762317671741</v>
      </c>
      <c r="O164" s="10">
        <f t="shared" si="119"/>
        <v>57.065232311554965</v>
      </c>
      <c r="P164" s="12">
        <f t="shared" si="113"/>
        <v>1512.7993085793223</v>
      </c>
      <c r="Q164" s="148"/>
      <c r="R164" s="74"/>
      <c r="S164" s="14">
        <f>F164-'[1]CORREÇÃO DOS ITENS DIVERGENTES'!$P157</f>
        <v>0</v>
      </c>
      <c r="T164" s="12">
        <f t="shared" si="107"/>
        <v>1840.0008651693961</v>
      </c>
    </row>
    <row r="165" spans="1:20" hidden="1">
      <c r="A165" s="118">
        <v>18007000</v>
      </c>
      <c r="B165" s="89" t="s">
        <v>88</v>
      </c>
      <c r="C165" s="89" t="s">
        <v>89</v>
      </c>
      <c r="D165" s="90" t="s">
        <v>33</v>
      </c>
      <c r="E165" s="91">
        <v>28.25</v>
      </c>
      <c r="F165" s="11">
        <f>VLOOKUP(A165,'[1]CORREÇÃO DOS ITENS DIVERGENTES'!$A$13:$G$490,7)</f>
        <v>84.962928194967844</v>
      </c>
      <c r="G165" s="91">
        <f t="shared" si="108"/>
        <v>106.20366024370981</v>
      </c>
      <c r="H165" s="12">
        <f t="shared" si="121"/>
        <v>3000.2534018848019</v>
      </c>
      <c r="I165" s="22">
        <v>28.25</v>
      </c>
      <c r="J165" s="11">
        <f t="shared" si="116"/>
        <v>84.962928194967844</v>
      </c>
      <c r="K165" s="10">
        <f t="shared" si="117"/>
        <v>108.20028905629155</v>
      </c>
      <c r="L165" s="12">
        <f t="shared" si="122"/>
        <v>3056.6581658402365</v>
      </c>
      <c r="M165" s="11">
        <v>0</v>
      </c>
      <c r="N165" s="11">
        <f t="shared" si="118"/>
        <v>84.962928194967844</v>
      </c>
      <c r="O165" s="10">
        <f t="shared" si="119"/>
        <v>108.20028905629155</v>
      </c>
      <c r="P165" s="12">
        <f t="shared" si="113"/>
        <v>0</v>
      </c>
      <c r="Q165" s="148"/>
      <c r="R165" s="74"/>
      <c r="S165" s="14">
        <f>F165-'[1]CORREÇÃO DOS ITENS DIVERGENTES'!$P158</f>
        <v>0</v>
      </c>
      <c r="T165" s="12">
        <f t="shared" si="107"/>
        <v>3000.2534018848019</v>
      </c>
    </row>
    <row r="166" spans="1:20" ht="22.5" hidden="1">
      <c r="A166" s="122">
        <v>18008000</v>
      </c>
      <c r="B166" s="89" t="s">
        <v>71</v>
      </c>
      <c r="C166" s="89" t="s">
        <v>72</v>
      </c>
      <c r="D166" s="90" t="s">
        <v>53</v>
      </c>
      <c r="E166" s="91">
        <v>1858.3</v>
      </c>
      <c r="F166" s="11">
        <f>VLOOKUP(A166,'[1]CORREÇÃO DOS ITENS DIVERGENTES'!$A$13:$G$490,7)</f>
        <v>5.9160949061534138</v>
      </c>
      <c r="G166" s="91">
        <f t="shared" si="108"/>
        <v>7.3951186326917675</v>
      </c>
      <c r="H166" s="12">
        <f t="shared" si="121"/>
        <v>13742.34895513111</v>
      </c>
      <c r="I166" s="22">
        <v>1858.3</v>
      </c>
      <c r="J166" s="11">
        <f t="shared" si="116"/>
        <v>5.9160949061534138</v>
      </c>
      <c r="K166" s="10">
        <f t="shared" si="117"/>
        <v>7.5341468629863728</v>
      </c>
      <c r="L166" s="12">
        <f t="shared" si="122"/>
        <v>14000.705115487577</v>
      </c>
      <c r="M166" s="11">
        <v>190.68</v>
      </c>
      <c r="N166" s="11">
        <f t="shared" si="118"/>
        <v>5.9160949061534138</v>
      </c>
      <c r="O166" s="10">
        <f t="shared" si="119"/>
        <v>7.5341468629863728</v>
      </c>
      <c r="P166" s="12">
        <f t="shared" si="113"/>
        <v>1436.6111238342417</v>
      </c>
      <c r="Q166" s="148"/>
      <c r="R166" s="74"/>
      <c r="S166" s="14">
        <f>F166-'[1]CORREÇÃO DOS ITENS DIVERGENTES'!$P159</f>
        <v>0</v>
      </c>
      <c r="T166" s="12">
        <f t="shared" si="107"/>
        <v>13742.34895513111</v>
      </c>
    </row>
    <row r="167" spans="1:20" hidden="1">
      <c r="A167" s="118">
        <v>18009000</v>
      </c>
      <c r="B167" s="89" t="s">
        <v>230</v>
      </c>
      <c r="C167" s="89" t="s">
        <v>231</v>
      </c>
      <c r="D167" s="90" t="s">
        <v>33</v>
      </c>
      <c r="E167" s="91">
        <v>1.1299999999999999</v>
      </c>
      <c r="F167" s="11">
        <f>VLOOKUP(A167,'[1]CORREÇÃO DOS ITENS DIVERGENTES'!$A$13:$G$490,7)</f>
        <v>142.74020288564751</v>
      </c>
      <c r="G167" s="91">
        <f t="shared" si="108"/>
        <v>178.42525360705937</v>
      </c>
      <c r="H167" s="12">
        <f t="shared" si="121"/>
        <v>201.62053657597707</v>
      </c>
      <c r="I167" s="22">
        <f>1.13+M167</f>
        <v>3.08</v>
      </c>
      <c r="J167" s="11">
        <f t="shared" si="116"/>
        <v>142.74020288564751</v>
      </c>
      <c r="K167" s="10">
        <f t="shared" si="117"/>
        <v>181.7796483748721</v>
      </c>
      <c r="L167" s="12">
        <f t="shared" si="122"/>
        <v>559.8813169946061</v>
      </c>
      <c r="M167" s="11">
        <f>3.08-1.13</f>
        <v>1.9500000000000002</v>
      </c>
      <c r="N167" s="11">
        <f t="shared" si="118"/>
        <v>142.74020288564751</v>
      </c>
      <c r="O167" s="10">
        <f t="shared" si="119"/>
        <v>181.7796483748721</v>
      </c>
      <c r="P167" s="12">
        <f t="shared" si="113"/>
        <v>354.47031433100062</v>
      </c>
      <c r="Q167" s="148"/>
      <c r="R167" s="74"/>
      <c r="S167" s="14">
        <f>F167-'[1]CORREÇÃO DOS ITENS DIVERGENTES'!$P160</f>
        <v>0</v>
      </c>
      <c r="T167" s="12">
        <f t="shared" si="107"/>
        <v>201.62053657597707</v>
      </c>
    </row>
    <row r="168" spans="1:20" hidden="1">
      <c r="A168" s="122">
        <v>18010000</v>
      </c>
      <c r="B168" s="89" t="s">
        <v>232</v>
      </c>
      <c r="C168" s="89" t="s">
        <v>233</v>
      </c>
      <c r="D168" s="90" t="s">
        <v>102</v>
      </c>
      <c r="E168" s="91">
        <v>26.5</v>
      </c>
      <c r="F168" s="11">
        <f>VLOOKUP(A168,'[1]CORREÇÃO DOS ITENS DIVERGENTES'!$A$13:$G$490,7)</f>
        <v>7.3441178145352719</v>
      </c>
      <c r="G168" s="91">
        <f t="shared" si="108"/>
        <v>9.1801472681690903</v>
      </c>
      <c r="H168" s="12">
        <f t="shared" si="121"/>
        <v>243.2739026064809</v>
      </c>
      <c r="I168" s="22">
        <v>26.5</v>
      </c>
      <c r="J168" s="11">
        <f t="shared" si="116"/>
        <v>7.3441178145352719</v>
      </c>
      <c r="K168" s="10">
        <f t="shared" si="117"/>
        <v>9.3527340368106699</v>
      </c>
      <c r="L168" s="12">
        <f t="shared" si="122"/>
        <v>247.84745197548276</v>
      </c>
      <c r="M168" s="11">
        <v>0</v>
      </c>
      <c r="N168" s="11">
        <f t="shared" si="118"/>
        <v>7.3441178145352719</v>
      </c>
      <c r="O168" s="10">
        <f t="shared" si="119"/>
        <v>9.3527340368106699</v>
      </c>
      <c r="P168" s="12">
        <f t="shared" si="113"/>
        <v>0</v>
      </c>
      <c r="Q168" s="148"/>
      <c r="R168" s="74"/>
      <c r="S168" s="14">
        <f>F168-'[1]CORREÇÃO DOS ITENS DIVERGENTES'!$P161</f>
        <v>0</v>
      </c>
      <c r="T168" s="12">
        <f t="shared" si="107"/>
        <v>243.2739026064809</v>
      </c>
    </row>
    <row r="169" spans="1:20" hidden="1">
      <c r="A169" s="118">
        <v>18011000</v>
      </c>
      <c r="B169" s="89" t="s">
        <v>234</v>
      </c>
      <c r="C169" s="89" t="s">
        <v>235</v>
      </c>
      <c r="D169" s="90" t="s">
        <v>22</v>
      </c>
      <c r="E169" s="91">
        <v>31.11</v>
      </c>
      <c r="F169" s="11">
        <f>VLOOKUP(A169,'[1]CORREÇÃO DOS ITENS DIVERGENTES'!$A$13:$G$490,7)</f>
        <v>240.5021190110192</v>
      </c>
      <c r="G169" s="91">
        <f t="shared" si="108"/>
        <v>300.627648763774</v>
      </c>
      <c r="H169" s="12">
        <f t="shared" si="121"/>
        <v>9352.5261530410098</v>
      </c>
      <c r="I169" s="22">
        <v>31.11</v>
      </c>
      <c r="J169" s="11">
        <f t="shared" si="116"/>
        <v>240.5021190110192</v>
      </c>
      <c r="K169" s="10">
        <f t="shared" si="117"/>
        <v>306.27944856053296</v>
      </c>
      <c r="L169" s="12">
        <f t="shared" si="122"/>
        <v>9528.3536447181796</v>
      </c>
      <c r="M169" s="11">
        <v>0</v>
      </c>
      <c r="N169" s="11">
        <f t="shared" si="118"/>
        <v>240.5021190110192</v>
      </c>
      <c r="O169" s="10">
        <f t="shared" si="119"/>
        <v>306.27944856053296</v>
      </c>
      <c r="P169" s="12">
        <f t="shared" si="113"/>
        <v>0</v>
      </c>
      <c r="Q169" s="148"/>
      <c r="R169" s="74"/>
      <c r="S169" s="14">
        <f>F169-'[1]CORREÇÃO DOS ITENS DIVERGENTES'!$P162</f>
        <v>0</v>
      </c>
      <c r="T169" s="12">
        <f t="shared" si="107"/>
        <v>9352.5261530410098</v>
      </c>
    </row>
    <row r="170" spans="1:20" s="28" customFormat="1" ht="22.5" hidden="1">
      <c r="A170" s="122">
        <v>18012000</v>
      </c>
      <c r="B170" s="123" t="s">
        <v>236</v>
      </c>
      <c r="C170" s="123" t="s">
        <v>178</v>
      </c>
      <c r="D170" s="124" t="s">
        <v>30</v>
      </c>
      <c r="E170" s="125">
        <v>14.96</v>
      </c>
      <c r="F170" s="11">
        <f>VLOOKUP(A170,'[1]CORREÇÃO DOS ITENS DIVERGENTES'!$A$13:$G$490,7)</f>
        <v>13.224733890666776</v>
      </c>
      <c r="G170" s="91">
        <f t="shared" si="108"/>
        <v>16.530917363333472</v>
      </c>
      <c r="H170" s="12">
        <f t="shared" si="121"/>
        <v>247.30252375546877</v>
      </c>
      <c r="I170" s="77">
        <v>14.96</v>
      </c>
      <c r="J170" s="11">
        <f t="shared" si="116"/>
        <v>13.224733890666776</v>
      </c>
      <c r="K170" s="10">
        <f t="shared" si="117"/>
        <v>16.841698609764141</v>
      </c>
      <c r="L170" s="12">
        <f t="shared" si="122"/>
        <v>251.95181120207155</v>
      </c>
      <c r="M170" s="11">
        <v>4.08</v>
      </c>
      <c r="N170" s="11">
        <f t="shared" si="118"/>
        <v>13.224733890666776</v>
      </c>
      <c r="O170" s="10">
        <f t="shared" si="119"/>
        <v>16.841698609764141</v>
      </c>
      <c r="P170" s="12">
        <f t="shared" si="113"/>
        <v>68.714130327837694</v>
      </c>
      <c r="Q170" s="148"/>
      <c r="R170" s="161"/>
      <c r="S170" s="14">
        <f>F170-'[1]CORREÇÃO DOS ITENS DIVERGENTES'!$P163</f>
        <v>0</v>
      </c>
      <c r="T170" s="12">
        <f t="shared" si="107"/>
        <v>247.30252375546877</v>
      </c>
    </row>
    <row r="171" spans="1:20" s="8" customFormat="1" ht="14.25" customHeight="1">
      <c r="A171" s="139">
        <v>15000000</v>
      </c>
      <c r="B171" s="139"/>
      <c r="C171" s="139" t="s">
        <v>172</v>
      </c>
      <c r="D171" s="139"/>
      <c r="E171" s="139"/>
      <c r="F171" s="139"/>
      <c r="G171" s="139"/>
      <c r="H171" s="140">
        <f>SUM(H172)</f>
        <v>216.9</v>
      </c>
      <c r="I171" s="159"/>
      <c r="J171" s="159"/>
      <c r="K171" s="27"/>
      <c r="L171" s="26">
        <f>SUM(L172:L174)</f>
        <v>11339.384198982294</v>
      </c>
      <c r="M171" s="159"/>
      <c r="N171" s="159"/>
      <c r="O171" s="6"/>
      <c r="P171" s="17">
        <f>SUM(P172:P174)</f>
        <v>0</v>
      </c>
      <c r="Q171" s="160">
        <f t="shared" ref="Q171" si="123">L171+P171</f>
        <v>11339.384198982294</v>
      </c>
      <c r="R171" s="159"/>
      <c r="S171" s="159"/>
      <c r="T171" s="140">
        <f>SUM(T172)</f>
        <v>271.125</v>
      </c>
    </row>
    <row r="172" spans="1:20" ht="22.5">
      <c r="A172" s="118">
        <v>15004000</v>
      </c>
      <c r="B172" s="89">
        <v>87264</v>
      </c>
      <c r="C172" s="89" t="s">
        <v>180</v>
      </c>
      <c r="D172" s="90" t="s">
        <v>22</v>
      </c>
      <c r="E172" s="91">
        <v>5</v>
      </c>
      <c r="F172" s="35">
        <v>43.38</v>
      </c>
      <c r="G172" s="91">
        <f t="shared" si="108"/>
        <v>54.225000000000001</v>
      </c>
      <c r="H172" s="12">
        <f>E172*F172</f>
        <v>216.9</v>
      </c>
      <c r="I172" s="22">
        <v>204.58</v>
      </c>
      <c r="J172" s="11">
        <f t="shared" ref="J172:J189" si="124">F172</f>
        <v>43.38</v>
      </c>
      <c r="K172" s="10">
        <f t="shared" ref="K172:K189" si="125">J172*1.2735</f>
        <v>55.244430000000008</v>
      </c>
      <c r="L172" s="12">
        <f t="shared" ref="L172:L189" si="126">I172*K172</f>
        <v>11301.905489400002</v>
      </c>
      <c r="M172" s="11">
        <v>0</v>
      </c>
      <c r="N172" s="11">
        <f t="shared" ref="N172:N189" si="127">J172</f>
        <v>43.38</v>
      </c>
      <c r="O172" s="10">
        <f t="shared" ref="O172:O189" si="128">N172*1.2735</f>
        <v>55.244430000000008</v>
      </c>
      <c r="P172" s="12">
        <f t="shared" ref="P172" si="129">M172*O172</f>
        <v>0</v>
      </c>
      <c r="Q172" s="148"/>
      <c r="R172" s="74"/>
      <c r="S172" s="14">
        <f>F172-'[1]CORREÇÃO DOS ITENS DIVERGENTES'!$P170</f>
        <v>34.528031909533574</v>
      </c>
      <c r="T172" s="12">
        <f t="shared" si="107"/>
        <v>271.125</v>
      </c>
    </row>
    <row r="173" spans="1:20" hidden="1">
      <c r="A173" s="118">
        <v>19002000</v>
      </c>
      <c r="B173" s="89">
        <v>72439</v>
      </c>
      <c r="C173" s="89" t="s">
        <v>237</v>
      </c>
      <c r="D173" s="90" t="s">
        <v>19</v>
      </c>
      <c r="E173" s="127">
        <v>6</v>
      </c>
      <c r="F173" s="11">
        <f>VLOOKUP(A173,'[1]CORREÇÃO DOS ITENS DIVERGENTES'!$A$13:$G$490,7)</f>
        <v>3.3527494370704503</v>
      </c>
      <c r="G173" s="91">
        <f t="shared" si="108"/>
        <v>4.1909367963380628</v>
      </c>
      <c r="H173" s="12">
        <f t="shared" ref="H173:H189" si="130">E173*G173</f>
        <v>25.145620778028377</v>
      </c>
      <c r="I173" s="78">
        <v>6</v>
      </c>
      <c r="J173" s="11">
        <f t="shared" si="124"/>
        <v>3.3527494370704503</v>
      </c>
      <c r="K173" s="10">
        <f t="shared" si="125"/>
        <v>4.2697264081092188</v>
      </c>
      <c r="L173" s="12">
        <f t="shared" si="126"/>
        <v>25.618358448655314</v>
      </c>
      <c r="M173" s="11">
        <v>0</v>
      </c>
      <c r="N173" s="11">
        <f t="shared" si="127"/>
        <v>3.3527494370704503</v>
      </c>
      <c r="O173" s="10">
        <f t="shared" si="128"/>
        <v>4.2697264081092188</v>
      </c>
      <c r="P173" s="12">
        <f t="shared" si="113"/>
        <v>0</v>
      </c>
      <c r="Q173" s="148"/>
      <c r="R173" s="74"/>
      <c r="S173" s="14">
        <f>F173-'[1]CORREÇÃO DOS ITENS DIVERGENTES'!$P168</f>
        <v>0</v>
      </c>
      <c r="T173" s="12">
        <f t="shared" si="107"/>
        <v>25.145620778028377</v>
      </c>
    </row>
    <row r="174" spans="1:20" hidden="1">
      <c r="A174" s="118">
        <v>19003000</v>
      </c>
      <c r="B174" s="89">
        <v>72440</v>
      </c>
      <c r="C174" s="89" t="s">
        <v>238</v>
      </c>
      <c r="D174" s="90" t="s">
        <v>19</v>
      </c>
      <c r="E174" s="127">
        <v>2</v>
      </c>
      <c r="F174" s="11">
        <f>VLOOKUP(A174,'[1]CORREÇÃO DOS ITENS DIVERGENTES'!$A$13:$G$490,7)</f>
        <v>4.6565964403756253</v>
      </c>
      <c r="G174" s="91">
        <f t="shared" si="108"/>
        <v>5.8207455504695318</v>
      </c>
      <c r="H174" s="12">
        <f t="shared" si="130"/>
        <v>11.641491100939064</v>
      </c>
      <c r="I174" s="78">
        <v>2</v>
      </c>
      <c r="J174" s="11">
        <f t="shared" si="124"/>
        <v>4.6565964403756253</v>
      </c>
      <c r="K174" s="10">
        <f t="shared" si="125"/>
        <v>5.9301755668183596</v>
      </c>
      <c r="L174" s="12">
        <f t="shared" si="126"/>
        <v>11.860351133636719</v>
      </c>
      <c r="M174" s="11">
        <v>0</v>
      </c>
      <c r="N174" s="11">
        <f t="shared" si="127"/>
        <v>4.6565964403756253</v>
      </c>
      <c r="O174" s="10">
        <f t="shared" si="128"/>
        <v>5.9301755668183596</v>
      </c>
      <c r="P174" s="12">
        <f t="shared" si="113"/>
        <v>0</v>
      </c>
      <c r="Q174" s="148"/>
      <c r="R174" s="74"/>
      <c r="S174" s="14">
        <f>F174-'[1]CORREÇÃO DOS ITENS DIVERGENTES'!$P169</f>
        <v>0</v>
      </c>
      <c r="T174" s="12">
        <f t="shared" si="107"/>
        <v>11.641491100939064</v>
      </c>
    </row>
    <row r="175" spans="1:20" hidden="1">
      <c r="A175" s="118">
        <v>19004000</v>
      </c>
      <c r="B175" s="89">
        <v>72442</v>
      </c>
      <c r="C175" s="89" t="s">
        <v>239</v>
      </c>
      <c r="D175" s="90" t="s">
        <v>19</v>
      </c>
      <c r="E175" s="127">
        <v>1</v>
      </c>
      <c r="F175" s="11">
        <f>VLOOKUP(A175,'[1]CORREÇÃO DOS ITENS DIVERGENTES'!$A$13:$G$490,7)</f>
        <v>8.8519680904664284</v>
      </c>
      <c r="G175" s="91">
        <f t="shared" si="108"/>
        <v>11.064960113083036</v>
      </c>
      <c r="H175" s="12">
        <f t="shared" si="130"/>
        <v>11.064960113083036</v>
      </c>
      <c r="I175" s="78">
        <v>1</v>
      </c>
      <c r="J175" s="11">
        <f t="shared" si="124"/>
        <v>8.8519680904664284</v>
      </c>
      <c r="K175" s="10">
        <f t="shared" si="125"/>
        <v>11.272981363208997</v>
      </c>
      <c r="L175" s="12">
        <f t="shared" si="126"/>
        <v>11.272981363208997</v>
      </c>
      <c r="M175" s="11">
        <v>0</v>
      </c>
      <c r="N175" s="11">
        <f t="shared" si="127"/>
        <v>8.8519680904664284</v>
      </c>
      <c r="O175" s="10">
        <f t="shared" si="128"/>
        <v>11.272981363208997</v>
      </c>
      <c r="P175" s="12">
        <f t="shared" si="113"/>
        <v>0</v>
      </c>
      <c r="Q175" s="148"/>
      <c r="R175" s="74"/>
      <c r="S175" s="14">
        <f>F175-'[1]CORREÇÃO DOS ITENS DIVERGENTES'!$P170</f>
        <v>0</v>
      </c>
      <c r="T175" s="12">
        <f t="shared" si="107"/>
        <v>11.064960113083036</v>
      </c>
    </row>
    <row r="176" spans="1:20" hidden="1">
      <c r="A176" s="118">
        <v>19005000</v>
      </c>
      <c r="B176" s="89">
        <v>72573</v>
      </c>
      <c r="C176" s="89" t="s">
        <v>240</v>
      </c>
      <c r="D176" s="90" t="s">
        <v>19</v>
      </c>
      <c r="E176" s="127">
        <v>13</v>
      </c>
      <c r="F176" s="11">
        <f>VLOOKUP(A176,'[1]CORREÇÃO DOS ITENS DIVERGENTES'!$A$13:$G$490,7)</f>
        <v>3.0777885044006519</v>
      </c>
      <c r="G176" s="91">
        <f t="shared" si="108"/>
        <v>3.8472356305008146</v>
      </c>
      <c r="H176" s="12">
        <f t="shared" si="130"/>
        <v>50.014063196510591</v>
      </c>
      <c r="I176" s="78">
        <v>13</v>
      </c>
      <c r="J176" s="11">
        <f t="shared" si="124"/>
        <v>3.0777885044006519</v>
      </c>
      <c r="K176" s="10">
        <f t="shared" si="125"/>
        <v>3.9195636603542305</v>
      </c>
      <c r="L176" s="12">
        <f t="shared" si="126"/>
        <v>50.954327584604997</v>
      </c>
      <c r="M176" s="11">
        <v>0</v>
      </c>
      <c r="N176" s="11">
        <f t="shared" si="127"/>
        <v>3.0777885044006519</v>
      </c>
      <c r="O176" s="10">
        <f t="shared" si="128"/>
        <v>3.9195636603542305</v>
      </c>
      <c r="P176" s="12">
        <f t="shared" si="113"/>
        <v>0</v>
      </c>
      <c r="Q176" s="148"/>
      <c r="R176" s="74"/>
      <c r="S176" s="14">
        <f>F176-'[1]CORREÇÃO DOS ITENS DIVERGENTES'!$P171</f>
        <v>0</v>
      </c>
      <c r="T176" s="12">
        <f t="shared" si="107"/>
        <v>50.014063196510591</v>
      </c>
    </row>
    <row r="177" spans="1:20" hidden="1">
      <c r="A177" s="118">
        <v>19006000</v>
      </c>
      <c r="B177" s="89">
        <v>72574</v>
      </c>
      <c r="C177" s="89" t="s">
        <v>241</v>
      </c>
      <c r="D177" s="90" t="s">
        <v>19</v>
      </c>
      <c r="E177" s="127">
        <v>1</v>
      </c>
      <c r="F177" s="11">
        <f>VLOOKUP(A177,'[1]CORREÇÃO DOS ITENS DIVERGENTES'!$A$13:$G$490,7)</f>
        <v>3.503534464663566</v>
      </c>
      <c r="G177" s="91">
        <f t="shared" si="108"/>
        <v>4.3794180808294572</v>
      </c>
      <c r="H177" s="12">
        <f t="shared" si="130"/>
        <v>4.3794180808294572</v>
      </c>
      <c r="I177" s="78">
        <v>1</v>
      </c>
      <c r="J177" s="11">
        <f t="shared" si="124"/>
        <v>3.503534464663566</v>
      </c>
      <c r="K177" s="10">
        <f t="shared" si="125"/>
        <v>4.461751140749052</v>
      </c>
      <c r="L177" s="12">
        <f t="shared" si="126"/>
        <v>4.461751140749052</v>
      </c>
      <c r="M177" s="11">
        <v>0</v>
      </c>
      <c r="N177" s="11">
        <f t="shared" si="127"/>
        <v>3.503534464663566</v>
      </c>
      <c r="O177" s="10">
        <f t="shared" si="128"/>
        <v>4.461751140749052</v>
      </c>
      <c r="P177" s="12">
        <f t="shared" si="113"/>
        <v>0</v>
      </c>
      <c r="Q177" s="148"/>
      <c r="R177" s="74"/>
      <c r="S177" s="14">
        <f>F177-'[1]CORREÇÃO DOS ITENS DIVERGENTES'!$P172</f>
        <v>0</v>
      </c>
      <c r="T177" s="12">
        <f t="shared" si="107"/>
        <v>4.3794180808294572</v>
      </c>
    </row>
    <row r="178" spans="1:20" hidden="1">
      <c r="A178" s="118">
        <v>19007000</v>
      </c>
      <c r="B178" s="89">
        <v>72575</v>
      </c>
      <c r="C178" s="89" t="s">
        <v>242</v>
      </c>
      <c r="D178" s="90" t="s">
        <v>19</v>
      </c>
      <c r="E178" s="127">
        <v>2</v>
      </c>
      <c r="F178" s="11">
        <f>VLOOKUP(A178,'[1]CORREÇÃO DOS ITENS DIVERGENTES'!$A$13:$G$490,7)</f>
        <v>3.7607559823224102</v>
      </c>
      <c r="G178" s="91">
        <f t="shared" si="108"/>
        <v>4.7009449779030126</v>
      </c>
      <c r="H178" s="12">
        <f t="shared" si="130"/>
        <v>9.4018899558060252</v>
      </c>
      <c r="I178" s="78">
        <v>2</v>
      </c>
      <c r="J178" s="11">
        <f t="shared" si="124"/>
        <v>3.7607559823224102</v>
      </c>
      <c r="K178" s="10">
        <f t="shared" si="125"/>
        <v>4.78932274348759</v>
      </c>
      <c r="L178" s="12">
        <f t="shared" si="126"/>
        <v>9.57864548697518</v>
      </c>
      <c r="M178" s="11">
        <v>0</v>
      </c>
      <c r="N178" s="11">
        <f t="shared" si="127"/>
        <v>3.7607559823224102</v>
      </c>
      <c r="O178" s="10">
        <f t="shared" si="128"/>
        <v>4.78932274348759</v>
      </c>
      <c r="P178" s="12">
        <f t="shared" si="113"/>
        <v>0</v>
      </c>
      <c r="Q178" s="148"/>
      <c r="R178" s="74"/>
      <c r="S178" s="14">
        <f>F178-'[1]CORREÇÃO DOS ITENS DIVERGENTES'!$P173</f>
        <v>0</v>
      </c>
      <c r="T178" s="12">
        <f t="shared" si="107"/>
        <v>9.4018899558060252</v>
      </c>
    </row>
    <row r="179" spans="1:20" hidden="1">
      <c r="A179" s="118">
        <v>19008000</v>
      </c>
      <c r="B179" s="89">
        <v>72643</v>
      </c>
      <c r="C179" s="89" t="s">
        <v>243</v>
      </c>
      <c r="D179" s="90" t="s">
        <v>19</v>
      </c>
      <c r="E179" s="127">
        <v>10</v>
      </c>
      <c r="F179" s="11">
        <f>VLOOKUP(A179,'[1]CORREÇÃO DOS ITENS DIVERGENTES'!$A$13:$G$490,7)</f>
        <v>1.9158568211831146</v>
      </c>
      <c r="G179" s="91">
        <f t="shared" si="108"/>
        <v>2.3948210264788932</v>
      </c>
      <c r="H179" s="12">
        <f t="shared" si="130"/>
        <v>23.948210264788933</v>
      </c>
      <c r="I179" s="78">
        <v>10</v>
      </c>
      <c r="J179" s="11">
        <f t="shared" si="124"/>
        <v>1.9158568211831146</v>
      </c>
      <c r="K179" s="10">
        <f t="shared" si="125"/>
        <v>2.4398436617766968</v>
      </c>
      <c r="L179" s="12">
        <f t="shared" si="126"/>
        <v>24.398436617766968</v>
      </c>
      <c r="M179" s="11">
        <v>0</v>
      </c>
      <c r="N179" s="11">
        <f t="shared" si="127"/>
        <v>1.9158568211831146</v>
      </c>
      <c r="O179" s="10">
        <f t="shared" si="128"/>
        <v>2.4398436617766968</v>
      </c>
      <c r="P179" s="12">
        <f t="shared" si="113"/>
        <v>0</v>
      </c>
      <c r="Q179" s="148"/>
      <c r="R179" s="74"/>
      <c r="S179" s="14">
        <f>F179-'[1]CORREÇÃO DOS ITENS DIVERGENTES'!$P174</f>
        <v>0</v>
      </c>
      <c r="T179" s="12">
        <f t="shared" si="107"/>
        <v>23.948210264788933</v>
      </c>
    </row>
    <row r="180" spans="1:20" hidden="1">
      <c r="A180" s="118">
        <v>19009000</v>
      </c>
      <c r="B180" s="89">
        <v>72703</v>
      </c>
      <c r="C180" s="89" t="s">
        <v>244</v>
      </c>
      <c r="D180" s="90" t="s">
        <v>19</v>
      </c>
      <c r="E180" s="127">
        <v>5</v>
      </c>
      <c r="F180" s="11">
        <f>VLOOKUP(A180,'[1]CORREÇÃO DOS ITENS DIVERGENTES'!$A$13:$G$490,7)</f>
        <v>4.3461566776839176</v>
      </c>
      <c r="G180" s="91">
        <f t="shared" si="108"/>
        <v>5.4326958471048972</v>
      </c>
      <c r="H180" s="12">
        <f t="shared" si="130"/>
        <v>27.163479235524484</v>
      </c>
      <c r="I180" s="78">
        <v>5</v>
      </c>
      <c r="J180" s="11">
        <f t="shared" si="124"/>
        <v>4.3461566776839176</v>
      </c>
      <c r="K180" s="10">
        <f t="shared" si="125"/>
        <v>5.5348305290304696</v>
      </c>
      <c r="L180" s="12">
        <f t="shared" si="126"/>
        <v>27.674152645152347</v>
      </c>
      <c r="M180" s="11">
        <v>0</v>
      </c>
      <c r="N180" s="11">
        <f t="shared" si="127"/>
        <v>4.3461566776839176</v>
      </c>
      <c r="O180" s="10">
        <f t="shared" si="128"/>
        <v>5.5348305290304696</v>
      </c>
      <c r="P180" s="12">
        <f t="shared" si="113"/>
        <v>0</v>
      </c>
      <c r="Q180" s="148"/>
      <c r="R180" s="74"/>
      <c r="S180" s="14">
        <f>F180-'[1]CORREÇÃO DOS ITENS DIVERGENTES'!$P175</f>
        <v>0</v>
      </c>
      <c r="T180" s="12">
        <f t="shared" si="107"/>
        <v>27.163479235524484</v>
      </c>
    </row>
    <row r="181" spans="1:20" ht="22.5" hidden="1">
      <c r="A181" s="118">
        <v>19010000</v>
      </c>
      <c r="B181" s="89">
        <v>72784</v>
      </c>
      <c r="C181" s="89" t="s">
        <v>245</v>
      </c>
      <c r="D181" s="90" t="s">
        <v>19</v>
      </c>
      <c r="E181" s="127">
        <v>2</v>
      </c>
      <c r="F181" s="11">
        <f>VLOOKUP(A181,'[1]CORREÇÃO DOS ITENS DIVERGENTES'!$A$13:$G$490,7)</f>
        <v>7.7432546522817551</v>
      </c>
      <c r="G181" s="91">
        <f t="shared" si="108"/>
        <v>9.6790683153521933</v>
      </c>
      <c r="H181" s="12">
        <f t="shared" si="130"/>
        <v>19.358136630704387</v>
      </c>
      <c r="I181" s="78">
        <v>2</v>
      </c>
      <c r="J181" s="11">
        <f t="shared" si="124"/>
        <v>7.7432546522817551</v>
      </c>
      <c r="K181" s="10">
        <f t="shared" si="125"/>
        <v>9.8610347996808159</v>
      </c>
      <c r="L181" s="12">
        <f t="shared" si="126"/>
        <v>19.722069599361632</v>
      </c>
      <c r="M181" s="11">
        <v>0</v>
      </c>
      <c r="N181" s="11">
        <f t="shared" si="127"/>
        <v>7.7432546522817551</v>
      </c>
      <c r="O181" s="10">
        <f t="shared" si="128"/>
        <v>9.8610347996808159</v>
      </c>
      <c r="P181" s="12">
        <f t="shared" si="113"/>
        <v>0</v>
      </c>
      <c r="Q181" s="148"/>
      <c r="R181" s="74"/>
      <c r="S181" s="14">
        <f>F181-'[1]CORREÇÃO DOS ITENS DIVERGENTES'!$P176</f>
        <v>0</v>
      </c>
      <c r="T181" s="12">
        <f t="shared" si="107"/>
        <v>19.358136630704387</v>
      </c>
    </row>
    <row r="182" spans="1:20" ht="22.5" hidden="1">
      <c r="A182" s="118">
        <v>19011000</v>
      </c>
      <c r="B182" s="89">
        <v>72785</v>
      </c>
      <c r="C182" s="89" t="s">
        <v>246</v>
      </c>
      <c r="D182" s="90" t="s">
        <v>19</v>
      </c>
      <c r="E182" s="127">
        <v>4</v>
      </c>
      <c r="F182" s="11">
        <f>VLOOKUP(A182,'[1]CORREÇÃO DOS ITENS DIVERGENTES'!$A$13:$G$490,7)</f>
        <v>12.515157290228586</v>
      </c>
      <c r="G182" s="91">
        <f t="shared" si="108"/>
        <v>15.643946612785733</v>
      </c>
      <c r="H182" s="12">
        <f t="shared" si="130"/>
        <v>62.575786451142932</v>
      </c>
      <c r="I182" s="78">
        <v>4</v>
      </c>
      <c r="J182" s="11">
        <f t="shared" si="124"/>
        <v>12.515157290228586</v>
      </c>
      <c r="K182" s="10">
        <f t="shared" si="125"/>
        <v>15.938052809106106</v>
      </c>
      <c r="L182" s="12">
        <f t="shared" si="126"/>
        <v>63.752211236424422</v>
      </c>
      <c r="M182" s="11">
        <v>0</v>
      </c>
      <c r="N182" s="11">
        <f t="shared" si="127"/>
        <v>12.515157290228586</v>
      </c>
      <c r="O182" s="10">
        <f t="shared" si="128"/>
        <v>15.938052809106106</v>
      </c>
      <c r="P182" s="12">
        <f t="shared" si="113"/>
        <v>0</v>
      </c>
      <c r="Q182" s="148"/>
      <c r="R182" s="74"/>
      <c r="S182" s="14">
        <f>F182-'[1]CORREÇÃO DOS ITENS DIVERGENTES'!$P177</f>
        <v>0</v>
      </c>
      <c r="T182" s="12">
        <f t="shared" si="107"/>
        <v>62.575786451142932</v>
      </c>
    </row>
    <row r="183" spans="1:20" ht="22.5" hidden="1">
      <c r="A183" s="118">
        <v>19012000</v>
      </c>
      <c r="B183" s="89">
        <v>72787</v>
      </c>
      <c r="C183" s="89" t="s">
        <v>247</v>
      </c>
      <c r="D183" s="90" t="s">
        <v>19</v>
      </c>
      <c r="E183" s="127">
        <v>2</v>
      </c>
      <c r="F183" s="11">
        <f>VLOOKUP(A183,'[1]CORREÇÃO DOS ITENS DIVERGENTES'!$A$13:$G$490,7)</f>
        <v>17.162884023098737</v>
      </c>
      <c r="G183" s="91">
        <f t="shared" si="108"/>
        <v>21.453605028873422</v>
      </c>
      <c r="H183" s="12">
        <f t="shared" si="130"/>
        <v>42.907210057746845</v>
      </c>
      <c r="I183" s="78">
        <v>2</v>
      </c>
      <c r="J183" s="11">
        <f t="shared" si="124"/>
        <v>17.162884023098737</v>
      </c>
      <c r="K183" s="10">
        <f t="shared" si="125"/>
        <v>21.856932803416242</v>
      </c>
      <c r="L183" s="12">
        <f t="shared" si="126"/>
        <v>43.713865606832485</v>
      </c>
      <c r="M183" s="11">
        <v>0</v>
      </c>
      <c r="N183" s="11">
        <f t="shared" si="127"/>
        <v>17.162884023098737</v>
      </c>
      <c r="O183" s="10">
        <f t="shared" si="128"/>
        <v>21.856932803416242</v>
      </c>
      <c r="P183" s="12">
        <f t="shared" si="113"/>
        <v>0</v>
      </c>
      <c r="Q183" s="148"/>
      <c r="R183" s="74"/>
      <c r="S183" s="14">
        <f>F183-'[1]CORREÇÃO DOS ITENS DIVERGENTES'!$P178</f>
        <v>0</v>
      </c>
      <c r="T183" s="12">
        <f t="shared" si="107"/>
        <v>42.907210057746845</v>
      </c>
    </row>
    <row r="184" spans="1:20" ht="22.5" hidden="1">
      <c r="A184" s="118">
        <v>19013000</v>
      </c>
      <c r="B184" s="89">
        <v>73636</v>
      </c>
      <c r="C184" s="89" t="s">
        <v>248</v>
      </c>
      <c r="D184" s="90" t="s">
        <v>19</v>
      </c>
      <c r="E184" s="127">
        <v>2</v>
      </c>
      <c r="F184" s="11">
        <f>VLOOKUP(A184,'[1]CORREÇÃO DOS ITENS DIVERGENTES'!$A$13:$G$490,7)</f>
        <v>8.1157823675118053</v>
      </c>
      <c r="G184" s="91">
        <f t="shared" si="108"/>
        <v>10.144727959389757</v>
      </c>
      <c r="H184" s="12">
        <f t="shared" si="130"/>
        <v>20.289455918779513</v>
      </c>
      <c r="I184" s="78">
        <v>2</v>
      </c>
      <c r="J184" s="11">
        <f t="shared" si="124"/>
        <v>8.1157823675118053</v>
      </c>
      <c r="K184" s="10">
        <f t="shared" si="125"/>
        <v>10.335448845026285</v>
      </c>
      <c r="L184" s="12">
        <f t="shared" si="126"/>
        <v>20.67089769005257</v>
      </c>
      <c r="M184" s="11">
        <v>0</v>
      </c>
      <c r="N184" s="11">
        <f t="shared" si="127"/>
        <v>8.1157823675118053</v>
      </c>
      <c r="O184" s="10">
        <f t="shared" si="128"/>
        <v>10.335448845026285</v>
      </c>
      <c r="P184" s="12">
        <f t="shared" si="113"/>
        <v>0</v>
      </c>
      <c r="Q184" s="148"/>
      <c r="R184" s="74"/>
      <c r="S184" s="14">
        <f>F184-'[1]CORREÇÃO DOS ITENS DIVERGENTES'!$P179</f>
        <v>0</v>
      </c>
      <c r="T184" s="12">
        <f t="shared" si="107"/>
        <v>20.289455918779513</v>
      </c>
    </row>
    <row r="185" spans="1:20" ht="22.5" hidden="1">
      <c r="A185" s="118">
        <v>19014000</v>
      </c>
      <c r="B185" s="89">
        <v>73642</v>
      </c>
      <c r="C185" s="89" t="s">
        <v>249</v>
      </c>
      <c r="D185" s="90" t="s">
        <v>19</v>
      </c>
      <c r="E185" s="127">
        <v>19</v>
      </c>
      <c r="F185" s="11">
        <f>VLOOKUP(A185,'[1]CORREÇÃO DOS ITENS DIVERGENTES'!$A$13:$G$490,7)</f>
        <v>5.9604434436808003</v>
      </c>
      <c r="G185" s="91">
        <f t="shared" si="108"/>
        <v>7.4505543046010008</v>
      </c>
      <c r="H185" s="12">
        <f t="shared" si="130"/>
        <v>141.56053178741902</v>
      </c>
      <c r="I185" s="78">
        <v>19</v>
      </c>
      <c r="J185" s="11">
        <f t="shared" si="124"/>
        <v>5.9604434436808003</v>
      </c>
      <c r="K185" s="10">
        <f t="shared" si="125"/>
        <v>7.5906247255274995</v>
      </c>
      <c r="L185" s="12">
        <f t="shared" si="126"/>
        <v>144.22186978502248</v>
      </c>
      <c r="M185" s="11">
        <v>0</v>
      </c>
      <c r="N185" s="11">
        <f t="shared" si="127"/>
        <v>5.9604434436808003</v>
      </c>
      <c r="O185" s="10">
        <f t="shared" si="128"/>
        <v>7.5906247255274995</v>
      </c>
      <c r="P185" s="12">
        <f t="shared" si="113"/>
        <v>0</v>
      </c>
      <c r="Q185" s="148"/>
      <c r="R185" s="74"/>
      <c r="S185" s="14">
        <f>F185-'[1]CORREÇÃO DOS ITENS DIVERGENTES'!$P180</f>
        <v>0</v>
      </c>
      <c r="T185" s="12">
        <f t="shared" si="107"/>
        <v>141.56053178741902</v>
      </c>
    </row>
    <row r="186" spans="1:20" ht="22.5" hidden="1">
      <c r="A186" s="118">
        <v>19015000</v>
      </c>
      <c r="B186" s="89">
        <v>73643</v>
      </c>
      <c r="C186" s="89" t="s">
        <v>250</v>
      </c>
      <c r="D186" s="90" t="s">
        <v>19</v>
      </c>
      <c r="E186" s="127">
        <v>5</v>
      </c>
      <c r="F186" s="11">
        <f>VLOOKUP(A186,'[1]CORREÇÃO DOS ITENS DIVERGENTES'!$A$13:$G$490,7)</f>
        <v>4.390505215211304</v>
      </c>
      <c r="G186" s="91">
        <f t="shared" si="108"/>
        <v>5.4881315190141304</v>
      </c>
      <c r="H186" s="12">
        <f t="shared" si="130"/>
        <v>27.440657595070654</v>
      </c>
      <c r="I186" s="78">
        <v>5</v>
      </c>
      <c r="J186" s="11">
        <f t="shared" si="124"/>
        <v>4.390505215211304</v>
      </c>
      <c r="K186" s="10">
        <f t="shared" si="125"/>
        <v>5.5913083915715962</v>
      </c>
      <c r="L186" s="12">
        <f t="shared" si="126"/>
        <v>27.956541957857979</v>
      </c>
      <c r="M186" s="11">
        <v>0</v>
      </c>
      <c r="N186" s="11">
        <f t="shared" si="127"/>
        <v>4.390505215211304</v>
      </c>
      <c r="O186" s="10">
        <f t="shared" si="128"/>
        <v>5.5913083915715962</v>
      </c>
      <c r="P186" s="12">
        <f t="shared" si="113"/>
        <v>0</v>
      </c>
      <c r="Q186" s="148"/>
      <c r="R186" s="74"/>
      <c r="S186" s="14">
        <f>F186-'[1]CORREÇÃO DOS ITENS DIVERGENTES'!$P181</f>
        <v>0</v>
      </c>
      <c r="T186" s="12">
        <f t="shared" si="107"/>
        <v>27.440657595070654</v>
      </c>
    </row>
    <row r="187" spans="1:20" ht="22.5" hidden="1">
      <c r="A187" s="118">
        <v>19016000</v>
      </c>
      <c r="B187" s="89">
        <v>73647</v>
      </c>
      <c r="C187" s="89" t="s">
        <v>251</v>
      </c>
      <c r="D187" s="90" t="s">
        <v>19</v>
      </c>
      <c r="E187" s="127">
        <v>1</v>
      </c>
      <c r="F187" s="11">
        <f>VLOOKUP(A187,'[1]CORREÇÃO DOS ITENS DIVERGENTES'!$A$13:$G$490,7)</f>
        <v>4.1421534050579378</v>
      </c>
      <c r="G187" s="91">
        <f t="shared" si="108"/>
        <v>5.1776917563224227</v>
      </c>
      <c r="H187" s="12">
        <f t="shared" si="130"/>
        <v>5.1776917563224227</v>
      </c>
      <c r="I187" s="78">
        <v>1</v>
      </c>
      <c r="J187" s="11">
        <f t="shared" si="124"/>
        <v>4.1421534050579378</v>
      </c>
      <c r="K187" s="10">
        <f t="shared" si="125"/>
        <v>5.2750323613412844</v>
      </c>
      <c r="L187" s="12">
        <f t="shared" si="126"/>
        <v>5.2750323613412844</v>
      </c>
      <c r="M187" s="11">
        <v>0</v>
      </c>
      <c r="N187" s="11">
        <f t="shared" si="127"/>
        <v>4.1421534050579378</v>
      </c>
      <c r="O187" s="10">
        <f t="shared" si="128"/>
        <v>5.2750323613412844</v>
      </c>
      <c r="P187" s="12">
        <f t="shared" si="113"/>
        <v>0</v>
      </c>
      <c r="Q187" s="148"/>
      <c r="R187" s="74"/>
      <c r="S187" s="14">
        <f>F187-'[1]CORREÇÃO DOS ITENS DIVERGENTES'!$P182</f>
        <v>0</v>
      </c>
      <c r="T187" s="12">
        <f t="shared" si="107"/>
        <v>5.1776917563224227</v>
      </c>
    </row>
    <row r="188" spans="1:20" hidden="1">
      <c r="A188" s="118">
        <v>19017000</v>
      </c>
      <c r="B188" s="89" t="s">
        <v>252</v>
      </c>
      <c r="C188" s="89" t="s">
        <v>253</v>
      </c>
      <c r="D188" s="90" t="s">
        <v>102</v>
      </c>
      <c r="E188" s="127">
        <v>0.28000000000000003</v>
      </c>
      <c r="F188" s="11">
        <f>VLOOKUP(A188,'[1]CORREÇÃO DOS ITENS DIVERGENTES'!$A$13:$G$490,7)</f>
        <v>5.224257720726178</v>
      </c>
      <c r="G188" s="91">
        <f t="shared" si="108"/>
        <v>6.5303221509077227</v>
      </c>
      <c r="H188" s="12">
        <f t="shared" si="130"/>
        <v>1.8284902022541625</v>
      </c>
      <c r="I188" s="78">
        <v>0.28000000000000003</v>
      </c>
      <c r="J188" s="11">
        <f t="shared" si="124"/>
        <v>5.224257720726178</v>
      </c>
      <c r="K188" s="10">
        <f t="shared" si="125"/>
        <v>6.6530922073447885</v>
      </c>
      <c r="L188" s="12">
        <f t="shared" si="126"/>
        <v>1.8628658180565409</v>
      </c>
      <c r="M188" s="11">
        <v>0</v>
      </c>
      <c r="N188" s="11">
        <f t="shared" si="127"/>
        <v>5.224257720726178</v>
      </c>
      <c r="O188" s="10">
        <f t="shared" si="128"/>
        <v>6.6530922073447885</v>
      </c>
      <c r="P188" s="12">
        <f t="shared" si="113"/>
        <v>0</v>
      </c>
      <c r="Q188" s="148"/>
      <c r="R188" s="74"/>
      <c r="S188" s="14">
        <f>F188-'[1]CORREÇÃO DOS ITENS DIVERGENTES'!$P183</f>
        <v>0</v>
      </c>
      <c r="T188" s="12">
        <f t="shared" si="107"/>
        <v>1.8284902022541625</v>
      </c>
    </row>
    <row r="189" spans="1:20" ht="22.5" hidden="1">
      <c r="A189" s="118">
        <v>19018000</v>
      </c>
      <c r="B189" s="89" t="s">
        <v>254</v>
      </c>
      <c r="C189" s="89" t="s">
        <v>255</v>
      </c>
      <c r="D189" s="90" t="s">
        <v>102</v>
      </c>
      <c r="E189" s="127">
        <v>6.51</v>
      </c>
      <c r="F189" s="11">
        <f>VLOOKUP(A189,'[1]CORREÇÃO DOS ITENS DIVERGENTES'!$A$13:$G$490,7)</f>
        <v>8.3641341776651714</v>
      </c>
      <c r="G189" s="91">
        <f t="shared" si="108"/>
        <v>10.455167722081464</v>
      </c>
      <c r="H189" s="12">
        <f t="shared" si="130"/>
        <v>68.063141870750329</v>
      </c>
      <c r="I189" s="78">
        <v>6.51</v>
      </c>
      <c r="J189" s="11">
        <f t="shared" si="124"/>
        <v>8.3641341776651714</v>
      </c>
      <c r="K189" s="10">
        <f t="shared" si="125"/>
        <v>10.651724875256596</v>
      </c>
      <c r="L189" s="12">
        <f t="shared" si="126"/>
        <v>69.342728937920441</v>
      </c>
      <c r="M189" s="11">
        <v>0</v>
      </c>
      <c r="N189" s="11">
        <f t="shared" si="127"/>
        <v>8.3641341776651714</v>
      </c>
      <c r="O189" s="10">
        <f t="shared" si="128"/>
        <v>10.651724875256596</v>
      </c>
      <c r="P189" s="12">
        <f t="shared" si="113"/>
        <v>0</v>
      </c>
      <c r="Q189" s="148"/>
      <c r="R189" s="74"/>
      <c r="S189" s="14">
        <f>F189-'[1]CORREÇÃO DOS ITENS DIVERGENTES'!$P184</f>
        <v>0</v>
      </c>
      <c r="T189" s="12">
        <f t="shared" si="107"/>
        <v>68.063141870750329</v>
      </c>
    </row>
    <row r="190" spans="1:20" s="8" customFormat="1" ht="14.25" customHeight="1">
      <c r="A190" s="139">
        <v>18000000</v>
      </c>
      <c r="B190" s="139"/>
      <c r="C190" s="139" t="s">
        <v>256</v>
      </c>
      <c r="D190" s="139"/>
      <c r="E190" s="139"/>
      <c r="F190" s="139"/>
      <c r="G190" s="139"/>
      <c r="H190" s="140">
        <f>H203</f>
        <v>230.83280000000002</v>
      </c>
      <c r="I190" s="17"/>
      <c r="J190" s="17"/>
      <c r="K190" s="27"/>
      <c r="L190" s="26">
        <f>SUM(L191:L204)</f>
        <v>41619.745071601443</v>
      </c>
      <c r="M190" s="159"/>
      <c r="N190" s="159"/>
      <c r="O190" s="20"/>
      <c r="P190" s="21">
        <f>SUM(P191:P204)</f>
        <v>3452.7673054724028</v>
      </c>
      <c r="Q190" s="160">
        <f t="shared" ref="Q190:Q205" si="131">L190+P190</f>
        <v>45072.512377073843</v>
      </c>
      <c r="R190" s="159"/>
      <c r="S190" s="159"/>
      <c r="T190" s="140">
        <f>T203</f>
        <v>288.54100000000005</v>
      </c>
    </row>
    <row r="191" spans="1:20" ht="22.5" hidden="1">
      <c r="A191" s="118">
        <v>18001000</v>
      </c>
      <c r="B191" s="89" t="s">
        <v>224</v>
      </c>
      <c r="C191" s="89" t="s">
        <v>225</v>
      </c>
      <c r="D191" s="90" t="s">
        <v>102</v>
      </c>
      <c r="E191" s="91">
        <v>26.23</v>
      </c>
      <c r="F191" s="11">
        <f>VLOOKUP(A191,'[1]CORREÇÃO DOS ITENS DIVERGENTES'!$A$13:$G$490,7)</f>
        <v>39.390371031825055</v>
      </c>
      <c r="G191" s="91">
        <f t="shared" si="108"/>
        <v>49.237963789781318</v>
      </c>
      <c r="H191" s="12">
        <f t="shared" ref="H191:H202" si="132">E191*G191</f>
        <v>1291.511790205964</v>
      </c>
      <c r="I191" s="22">
        <v>26.23</v>
      </c>
      <c r="J191" s="11">
        <f t="shared" ref="J191:J204" si="133">F191</f>
        <v>39.390371031825055</v>
      </c>
      <c r="K191" s="10">
        <f t="shared" ref="K191:K204" si="134">J191*1.2735</f>
        <v>50.163637509029208</v>
      </c>
      <c r="L191" s="12">
        <f>I191*K191</f>
        <v>1315.7922118618362</v>
      </c>
      <c r="M191" s="11">
        <v>0</v>
      </c>
      <c r="N191" s="11">
        <f t="shared" ref="N191:N204" si="135">J191</f>
        <v>39.390371031825055</v>
      </c>
      <c r="O191" s="10">
        <f t="shared" ref="O191:O204" si="136">N191*1.2735</f>
        <v>50.163637509029208</v>
      </c>
      <c r="P191" s="12">
        <f t="shared" ref="P191:P254" si="137">M191*O191</f>
        <v>0</v>
      </c>
      <c r="Q191" s="148"/>
      <c r="R191" s="74"/>
      <c r="S191" s="14">
        <f>F191-'[1]CORREÇÃO DOS ITENS DIVERGENTES'!$P186</f>
        <v>6.5635835540532668</v>
      </c>
      <c r="T191" s="12">
        <f t="shared" si="107"/>
        <v>1291.511790205964</v>
      </c>
    </row>
    <row r="192" spans="1:20" ht="22.5" hidden="1">
      <c r="A192" s="122">
        <v>18002000</v>
      </c>
      <c r="B192" s="89" t="s">
        <v>226</v>
      </c>
      <c r="C192" s="89" t="s">
        <v>227</v>
      </c>
      <c r="D192" s="90" t="s">
        <v>22</v>
      </c>
      <c r="E192" s="91">
        <v>14.96</v>
      </c>
      <c r="F192" s="11">
        <f>VLOOKUP(A192,'[1]CORREÇÃO DOS ITENS DIVERGENTES'!$A$13:$G$490,7)</f>
        <v>24.702135402754511</v>
      </c>
      <c r="G192" s="91">
        <f t="shared" si="108"/>
        <v>30.877669253443138</v>
      </c>
      <c r="H192" s="12">
        <f t="shared" si="132"/>
        <v>461.92993203150934</v>
      </c>
      <c r="I192" s="22">
        <v>14.96</v>
      </c>
      <c r="J192" s="11">
        <f t="shared" si="133"/>
        <v>24.702135402754511</v>
      </c>
      <c r="K192" s="10">
        <f t="shared" si="134"/>
        <v>31.458169435407871</v>
      </c>
      <c r="L192" s="12">
        <f t="shared" ref="L192:L204" si="138">I192*K192</f>
        <v>470.61421475370179</v>
      </c>
      <c r="M192" s="11">
        <v>0</v>
      </c>
      <c r="N192" s="11">
        <f t="shared" si="135"/>
        <v>24.702135402754511</v>
      </c>
      <c r="O192" s="10">
        <f t="shared" si="136"/>
        <v>31.458169435407871</v>
      </c>
      <c r="P192" s="12">
        <f t="shared" si="137"/>
        <v>0</v>
      </c>
      <c r="Q192" s="148"/>
      <c r="R192" s="74"/>
      <c r="S192" s="14">
        <f>F192-'[1]CORREÇÃO DOS ITENS DIVERGENTES'!$P187</f>
        <v>-21.624346898353853</v>
      </c>
      <c r="T192" s="12">
        <f t="shared" si="107"/>
        <v>461.92993203150934</v>
      </c>
    </row>
    <row r="193" spans="1:22" hidden="1">
      <c r="A193" s="118">
        <v>18003000</v>
      </c>
      <c r="B193" s="89" t="s">
        <v>51</v>
      </c>
      <c r="C193" s="89" t="s">
        <v>52</v>
      </c>
      <c r="D193" s="90" t="s">
        <v>53</v>
      </c>
      <c r="E193" s="91">
        <v>47.3</v>
      </c>
      <c r="F193" s="11">
        <f>VLOOKUP(A193,'[1]CORREÇÃO DOS ITENS DIVERGENTES'!$A$13:$G$490,7)</f>
        <v>6.4394076489765792</v>
      </c>
      <c r="G193" s="91">
        <f t="shared" si="108"/>
        <v>8.0492595612207243</v>
      </c>
      <c r="H193" s="12">
        <f t="shared" si="132"/>
        <v>380.72997724574026</v>
      </c>
      <c r="I193" s="22">
        <v>47.3</v>
      </c>
      <c r="J193" s="11">
        <f t="shared" si="133"/>
        <v>6.4394076489765792</v>
      </c>
      <c r="K193" s="10">
        <f t="shared" si="134"/>
        <v>8.2005856409716742</v>
      </c>
      <c r="L193" s="12">
        <f t="shared" si="138"/>
        <v>387.88770081796019</v>
      </c>
      <c r="M193" s="11">
        <v>0</v>
      </c>
      <c r="N193" s="11">
        <f t="shared" si="135"/>
        <v>6.4394076489765792</v>
      </c>
      <c r="O193" s="10">
        <f t="shared" si="136"/>
        <v>8.2005856409716742</v>
      </c>
      <c r="P193" s="12">
        <f t="shared" si="137"/>
        <v>0</v>
      </c>
      <c r="Q193" s="148"/>
      <c r="R193" s="74"/>
      <c r="S193" s="14">
        <f>F193-'[1]CORREÇÃO DOS ITENS DIVERGENTES'!$P188</f>
        <v>-44.907329100231991</v>
      </c>
      <c r="T193" s="12">
        <f t="shared" si="107"/>
        <v>380.72997724574026</v>
      </c>
    </row>
    <row r="194" spans="1:22" hidden="1">
      <c r="A194" s="122">
        <v>18004000</v>
      </c>
      <c r="B194" s="89" t="s">
        <v>228</v>
      </c>
      <c r="C194" s="89" t="s">
        <v>229</v>
      </c>
      <c r="D194" s="90" t="s">
        <v>33</v>
      </c>
      <c r="E194" s="91">
        <v>1.8</v>
      </c>
      <c r="F194" s="11">
        <f>VLOOKUP(A194,'[1]CORREÇÃO DOS ITENS DIVERGENTES'!$A$13:$G$490,7)</f>
        <v>16.275913272550998</v>
      </c>
      <c r="G194" s="91">
        <f t="shared" si="108"/>
        <v>20.344891590688746</v>
      </c>
      <c r="H194" s="12">
        <f t="shared" si="132"/>
        <v>36.620804863239748</v>
      </c>
      <c r="I194" s="22">
        <v>1.8</v>
      </c>
      <c r="J194" s="11">
        <f t="shared" si="133"/>
        <v>16.275913272550998</v>
      </c>
      <c r="K194" s="10">
        <f t="shared" si="134"/>
        <v>20.727375552593696</v>
      </c>
      <c r="L194" s="12">
        <f t="shared" si="138"/>
        <v>37.309275994668653</v>
      </c>
      <c r="M194" s="11">
        <v>0</v>
      </c>
      <c r="N194" s="11">
        <f t="shared" si="135"/>
        <v>16.275913272550998</v>
      </c>
      <c r="O194" s="10">
        <f t="shared" si="136"/>
        <v>20.727375552593696</v>
      </c>
      <c r="P194" s="12">
        <f t="shared" si="137"/>
        <v>0</v>
      </c>
      <c r="Q194" s="148"/>
      <c r="R194" s="74"/>
      <c r="S194" s="14">
        <f>F194-'[1]CORREÇÃO DOS ITENS DIVERGENTES'!$P189</f>
        <v>-14.333447328851445</v>
      </c>
      <c r="T194" s="12">
        <f t="shared" si="107"/>
        <v>36.620804863239748</v>
      </c>
    </row>
    <row r="195" spans="1:22" ht="22.5" hidden="1">
      <c r="A195" s="118">
        <v>18005000</v>
      </c>
      <c r="B195" s="89" t="s">
        <v>58</v>
      </c>
      <c r="C195" s="89" t="s">
        <v>59</v>
      </c>
      <c r="D195" s="90" t="s">
        <v>33</v>
      </c>
      <c r="E195" s="91">
        <v>28.25</v>
      </c>
      <c r="F195" s="11">
        <f>VLOOKUP(A195,'[1]CORREÇÃO DOS ITENS DIVERGENTES'!$A$13:$G$490,7)</f>
        <v>265.18651499876279</v>
      </c>
      <c r="G195" s="91">
        <f t="shared" si="108"/>
        <v>331.48314374845347</v>
      </c>
      <c r="H195" s="12">
        <f t="shared" si="132"/>
        <v>9364.3988108938102</v>
      </c>
      <c r="I195" s="22">
        <v>28.25</v>
      </c>
      <c r="J195" s="11">
        <f t="shared" si="133"/>
        <v>265.18651499876279</v>
      </c>
      <c r="K195" s="10">
        <f t="shared" si="134"/>
        <v>337.71502685092446</v>
      </c>
      <c r="L195" s="12">
        <f t="shared" si="138"/>
        <v>9540.4495085386152</v>
      </c>
      <c r="M195" s="11">
        <v>0</v>
      </c>
      <c r="N195" s="11">
        <f t="shared" si="135"/>
        <v>265.18651499876279</v>
      </c>
      <c r="O195" s="10">
        <f t="shared" si="136"/>
        <v>337.71502685092446</v>
      </c>
      <c r="P195" s="12">
        <f t="shared" si="137"/>
        <v>0</v>
      </c>
      <c r="Q195" s="148"/>
      <c r="R195" s="74"/>
      <c r="S195" s="14">
        <f>F195-'[1]CORREÇÃO DOS ITENS DIVERGENTES'!$P190</f>
        <v>241.24717444147933</v>
      </c>
      <c r="T195" s="12">
        <f t="shared" si="107"/>
        <v>9364.3988108938102</v>
      </c>
    </row>
    <row r="196" spans="1:22" ht="22.5" hidden="1">
      <c r="A196" s="122">
        <v>18006000</v>
      </c>
      <c r="B196" s="89" t="s">
        <v>86</v>
      </c>
      <c r="C196" s="89" t="s">
        <v>87</v>
      </c>
      <c r="D196" s="90" t="s">
        <v>22</v>
      </c>
      <c r="E196" s="91">
        <v>32.85</v>
      </c>
      <c r="F196" s="11">
        <f>VLOOKUP(A196,'[1]CORREÇÃO DOS ITENS DIVERGENTES'!$A$13:$G$490,7)</f>
        <v>44.809762317671741</v>
      </c>
      <c r="G196" s="91">
        <f t="shared" si="108"/>
        <v>56.012202897089679</v>
      </c>
      <c r="H196" s="12">
        <f t="shared" si="132"/>
        <v>1840.0008651693961</v>
      </c>
      <c r="I196" s="22">
        <v>32.85</v>
      </c>
      <c r="J196" s="11">
        <f t="shared" si="133"/>
        <v>44.809762317671741</v>
      </c>
      <c r="K196" s="10">
        <f t="shared" si="134"/>
        <v>57.065232311554965</v>
      </c>
      <c r="L196" s="12">
        <f t="shared" si="138"/>
        <v>1874.5928814345807</v>
      </c>
      <c r="M196" s="11">
        <v>26.51</v>
      </c>
      <c r="N196" s="11">
        <f t="shared" si="135"/>
        <v>44.809762317671741</v>
      </c>
      <c r="O196" s="10">
        <f t="shared" si="136"/>
        <v>57.065232311554965</v>
      </c>
      <c r="P196" s="12">
        <f t="shared" si="137"/>
        <v>1512.7993085793223</v>
      </c>
      <c r="Q196" s="148"/>
      <c r="R196" s="74"/>
      <c r="S196" s="14">
        <f>F196-'[1]CORREÇÃO DOS ITENS DIVERGENTES'!$P191</f>
        <v>41.394924928062949</v>
      </c>
      <c r="T196" s="12">
        <f t="shared" si="107"/>
        <v>1840.0008651693961</v>
      </c>
    </row>
    <row r="197" spans="1:22" hidden="1">
      <c r="A197" s="118">
        <v>18007000</v>
      </c>
      <c r="B197" s="89" t="s">
        <v>88</v>
      </c>
      <c r="C197" s="89" t="s">
        <v>89</v>
      </c>
      <c r="D197" s="90" t="s">
        <v>33</v>
      </c>
      <c r="E197" s="91">
        <v>28.25</v>
      </c>
      <c r="F197" s="11">
        <f>VLOOKUP(A197,'[1]CORREÇÃO DOS ITENS DIVERGENTES'!$A$13:$G$490,7)</f>
        <v>84.962928194967844</v>
      </c>
      <c r="G197" s="91">
        <f t="shared" si="108"/>
        <v>106.20366024370981</v>
      </c>
      <c r="H197" s="12">
        <f t="shared" si="132"/>
        <v>3000.2534018848019</v>
      </c>
      <c r="I197" s="22">
        <v>28.25</v>
      </c>
      <c r="J197" s="11">
        <f t="shared" si="133"/>
        <v>84.962928194967844</v>
      </c>
      <c r="K197" s="10">
        <f t="shared" si="134"/>
        <v>108.20028905629155</v>
      </c>
      <c r="L197" s="12">
        <f t="shared" si="138"/>
        <v>3056.6581658402365</v>
      </c>
      <c r="M197" s="11">
        <v>0</v>
      </c>
      <c r="N197" s="11">
        <f t="shared" si="135"/>
        <v>84.962928194967844</v>
      </c>
      <c r="O197" s="10">
        <f t="shared" si="136"/>
        <v>108.20028905629155</v>
      </c>
      <c r="P197" s="12">
        <f t="shared" si="137"/>
        <v>0</v>
      </c>
      <c r="Q197" s="148"/>
      <c r="R197" s="74"/>
      <c r="S197" s="14">
        <f>F197-'[1]CORREÇÃO DOS ITENS DIVERGENTES'!$P192</f>
        <v>79.144400071374676</v>
      </c>
      <c r="T197" s="12">
        <f t="shared" si="107"/>
        <v>3000.2534018848019</v>
      </c>
    </row>
    <row r="198" spans="1:22" ht="22.5" hidden="1">
      <c r="A198" s="122">
        <v>18008000</v>
      </c>
      <c r="B198" s="89" t="s">
        <v>71</v>
      </c>
      <c r="C198" s="89" t="s">
        <v>72</v>
      </c>
      <c r="D198" s="90" t="s">
        <v>53</v>
      </c>
      <c r="E198" s="91">
        <v>1858.3</v>
      </c>
      <c r="F198" s="11">
        <f>VLOOKUP(A198,'[1]CORREÇÃO DOS ITENS DIVERGENTES'!$A$13:$G$490,7)</f>
        <v>5.9160949061534138</v>
      </c>
      <c r="G198" s="91">
        <f t="shared" si="108"/>
        <v>7.3951186326917675</v>
      </c>
      <c r="H198" s="12">
        <f t="shared" si="132"/>
        <v>13742.34895513111</v>
      </c>
      <c r="I198" s="22">
        <v>1858.3</v>
      </c>
      <c r="J198" s="11">
        <f t="shared" si="133"/>
        <v>5.9160949061534138</v>
      </c>
      <c r="K198" s="10">
        <f t="shared" si="134"/>
        <v>7.5341468629863728</v>
      </c>
      <c r="L198" s="12">
        <f t="shared" si="138"/>
        <v>14000.705115487577</v>
      </c>
      <c r="M198" s="11">
        <v>190.68</v>
      </c>
      <c r="N198" s="11">
        <f t="shared" si="135"/>
        <v>5.9160949061534138</v>
      </c>
      <c r="O198" s="10">
        <f t="shared" si="136"/>
        <v>7.5341468629863728</v>
      </c>
      <c r="P198" s="12">
        <f t="shared" si="137"/>
        <v>1436.6111238342417</v>
      </c>
      <c r="Q198" s="148"/>
      <c r="R198" s="74"/>
      <c r="S198" s="14">
        <f>F198-'[1]CORREÇÃO DOS ITENS DIVERGENTES'!$P193</f>
        <v>-3.8317136423662292</v>
      </c>
      <c r="T198" s="12">
        <f t="shared" si="107"/>
        <v>13742.34895513111</v>
      </c>
    </row>
    <row r="199" spans="1:22" hidden="1">
      <c r="A199" s="118">
        <v>18009000</v>
      </c>
      <c r="B199" s="89" t="s">
        <v>230</v>
      </c>
      <c r="C199" s="89" t="s">
        <v>231</v>
      </c>
      <c r="D199" s="90" t="s">
        <v>33</v>
      </c>
      <c r="E199" s="91">
        <v>1.1299999999999999</v>
      </c>
      <c r="F199" s="11">
        <f>VLOOKUP(A199,'[1]CORREÇÃO DOS ITENS DIVERGENTES'!$A$13:$G$490,7)</f>
        <v>142.74020288564751</v>
      </c>
      <c r="G199" s="91">
        <f t="shared" si="108"/>
        <v>178.42525360705937</v>
      </c>
      <c r="H199" s="12">
        <f t="shared" si="132"/>
        <v>201.62053657597707</v>
      </c>
      <c r="I199" s="22">
        <f>1.13+M199</f>
        <v>3.08</v>
      </c>
      <c r="J199" s="11">
        <f t="shared" si="133"/>
        <v>142.74020288564751</v>
      </c>
      <c r="K199" s="10">
        <f t="shared" si="134"/>
        <v>181.7796483748721</v>
      </c>
      <c r="L199" s="12">
        <f t="shared" si="138"/>
        <v>559.8813169946061</v>
      </c>
      <c r="M199" s="11">
        <f>3.08-1.13</f>
        <v>1.9500000000000002</v>
      </c>
      <c r="N199" s="11">
        <f t="shared" si="135"/>
        <v>142.74020288564751</v>
      </c>
      <c r="O199" s="10">
        <f t="shared" si="136"/>
        <v>181.7796483748721</v>
      </c>
      <c r="P199" s="12">
        <f t="shared" si="137"/>
        <v>354.47031433100062</v>
      </c>
      <c r="Q199" s="148"/>
      <c r="R199" s="74"/>
      <c r="S199" s="14">
        <f>F199-'[1]CORREÇÃO DOS ITENS DIVERGENTES'!$P194</f>
        <v>140.25668478411384</v>
      </c>
      <c r="T199" s="12">
        <f t="shared" si="107"/>
        <v>201.62053657597707</v>
      </c>
    </row>
    <row r="200" spans="1:22" hidden="1">
      <c r="A200" s="122">
        <v>18010000</v>
      </c>
      <c r="B200" s="89" t="s">
        <v>232</v>
      </c>
      <c r="C200" s="89" t="s">
        <v>233</v>
      </c>
      <c r="D200" s="90" t="s">
        <v>102</v>
      </c>
      <c r="E200" s="91">
        <v>26.5</v>
      </c>
      <c r="F200" s="11">
        <f>VLOOKUP(A200,'[1]CORREÇÃO DOS ITENS DIVERGENTES'!$A$13:$G$490,7)</f>
        <v>7.3441178145352719</v>
      </c>
      <c r="G200" s="91">
        <f t="shared" si="108"/>
        <v>9.1801472681690903</v>
      </c>
      <c r="H200" s="12">
        <f t="shared" si="132"/>
        <v>243.2739026064809</v>
      </c>
      <c r="I200" s="22">
        <v>26.5</v>
      </c>
      <c r="J200" s="11">
        <f t="shared" si="133"/>
        <v>7.3441178145352719</v>
      </c>
      <c r="K200" s="10">
        <f t="shared" si="134"/>
        <v>9.3527340368106699</v>
      </c>
      <c r="L200" s="12">
        <f t="shared" si="138"/>
        <v>247.84745197548276</v>
      </c>
      <c r="M200" s="11">
        <v>0</v>
      </c>
      <c r="N200" s="11">
        <f t="shared" si="135"/>
        <v>7.3441178145352719</v>
      </c>
      <c r="O200" s="10">
        <f t="shared" si="136"/>
        <v>9.3527340368106699</v>
      </c>
      <c r="P200" s="12">
        <f t="shared" si="137"/>
        <v>0</v>
      </c>
      <c r="Q200" s="148"/>
      <c r="R200" s="74"/>
      <c r="S200" s="14">
        <f>F200-'[1]CORREÇÃO DOS ITENS DIVERGENTES'!$P195</f>
        <v>1.4457623233928123</v>
      </c>
      <c r="T200" s="12">
        <f t="shared" si="107"/>
        <v>243.2739026064809</v>
      </c>
    </row>
    <row r="201" spans="1:22" hidden="1">
      <c r="A201" s="118">
        <v>18011000</v>
      </c>
      <c r="B201" s="89" t="s">
        <v>234</v>
      </c>
      <c r="C201" s="89" t="s">
        <v>235</v>
      </c>
      <c r="D201" s="90" t="s">
        <v>22</v>
      </c>
      <c r="E201" s="91">
        <v>31.11</v>
      </c>
      <c r="F201" s="11">
        <f>VLOOKUP(A201,'[1]CORREÇÃO DOS ITENS DIVERGENTES'!$A$13:$G$490,7)</f>
        <v>240.5021190110192</v>
      </c>
      <c r="G201" s="91">
        <f t="shared" si="108"/>
        <v>300.627648763774</v>
      </c>
      <c r="H201" s="12">
        <f t="shared" si="132"/>
        <v>9352.5261530410098</v>
      </c>
      <c r="I201" s="22">
        <v>31.11</v>
      </c>
      <c r="J201" s="11">
        <f t="shared" si="133"/>
        <v>240.5021190110192</v>
      </c>
      <c r="K201" s="10">
        <f t="shared" si="134"/>
        <v>306.27944856053296</v>
      </c>
      <c r="L201" s="12">
        <f t="shared" si="138"/>
        <v>9528.3536447181796</v>
      </c>
      <c r="M201" s="11">
        <v>0</v>
      </c>
      <c r="N201" s="11">
        <f t="shared" si="135"/>
        <v>240.5021190110192</v>
      </c>
      <c r="O201" s="10">
        <f t="shared" si="136"/>
        <v>306.27944856053296</v>
      </c>
      <c r="P201" s="12">
        <f t="shared" si="137"/>
        <v>0</v>
      </c>
      <c r="Q201" s="148"/>
      <c r="R201" s="74"/>
      <c r="S201" s="14">
        <f>F201-'[1]CORREÇÃO DOS ITENS DIVERGENTES'!$P196</f>
        <v>235.49960397792995</v>
      </c>
      <c r="T201" s="12">
        <f t="shared" si="107"/>
        <v>9352.5261530410098</v>
      </c>
    </row>
    <row r="202" spans="1:22" s="28" customFormat="1" ht="22.5" hidden="1">
      <c r="A202" s="122">
        <v>18012000</v>
      </c>
      <c r="B202" s="123" t="s">
        <v>236</v>
      </c>
      <c r="C202" s="123" t="s">
        <v>178</v>
      </c>
      <c r="D202" s="124" t="s">
        <v>30</v>
      </c>
      <c r="E202" s="125">
        <v>14.96</v>
      </c>
      <c r="F202" s="11">
        <f>VLOOKUP(A202,'[1]CORREÇÃO DOS ITENS DIVERGENTES'!$A$13:$G$490,7)</f>
        <v>13.224733890666776</v>
      </c>
      <c r="G202" s="91">
        <f t="shared" si="108"/>
        <v>16.530917363333472</v>
      </c>
      <c r="H202" s="12">
        <f t="shared" si="132"/>
        <v>247.30252375546877</v>
      </c>
      <c r="I202" s="77">
        <v>14.96</v>
      </c>
      <c r="J202" s="11">
        <f t="shared" si="133"/>
        <v>13.224733890666776</v>
      </c>
      <c r="K202" s="10">
        <f t="shared" si="134"/>
        <v>16.841698609764141</v>
      </c>
      <c r="L202" s="12">
        <f t="shared" si="138"/>
        <v>251.95181120207155</v>
      </c>
      <c r="M202" s="11">
        <v>4.08</v>
      </c>
      <c r="N202" s="11">
        <f t="shared" si="135"/>
        <v>13.224733890666776</v>
      </c>
      <c r="O202" s="10">
        <f t="shared" si="136"/>
        <v>16.841698609764141</v>
      </c>
      <c r="P202" s="12">
        <f t="shared" si="137"/>
        <v>68.714130327837694</v>
      </c>
      <c r="Q202" s="148"/>
      <c r="R202" s="161"/>
      <c r="S202" s="14">
        <f>F202-'[1]CORREÇÃO DOS ITENS DIVERGENTES'!$P197</f>
        <v>1.4989805684256758</v>
      </c>
      <c r="T202" s="12">
        <f t="shared" si="107"/>
        <v>247.30252375546877</v>
      </c>
    </row>
    <row r="203" spans="1:22" s="28" customFormat="1" ht="22.5">
      <c r="A203" s="118">
        <v>18013000</v>
      </c>
      <c r="B203" s="128" t="s">
        <v>257</v>
      </c>
      <c r="C203" s="128" t="s">
        <v>258</v>
      </c>
      <c r="D203" s="129" t="s">
        <v>22</v>
      </c>
      <c r="E203" s="130">
        <v>14.96</v>
      </c>
      <c r="F203" s="35">
        <v>15.43</v>
      </c>
      <c r="G203" s="91">
        <f t="shared" si="108"/>
        <v>19.287500000000001</v>
      </c>
      <c r="H203" s="12">
        <f>E203*F203</f>
        <v>230.83280000000002</v>
      </c>
      <c r="I203" s="79">
        <v>14.96</v>
      </c>
      <c r="J203" s="11">
        <f t="shared" si="133"/>
        <v>15.43</v>
      </c>
      <c r="K203" s="10">
        <f t="shared" si="134"/>
        <v>19.650105</v>
      </c>
      <c r="L203" s="12">
        <f t="shared" si="138"/>
        <v>293.96557080000002</v>
      </c>
      <c r="M203" s="11">
        <v>4.08</v>
      </c>
      <c r="N203" s="11">
        <f t="shared" si="135"/>
        <v>15.43</v>
      </c>
      <c r="O203" s="10">
        <f t="shared" si="136"/>
        <v>19.650105</v>
      </c>
      <c r="P203" s="12">
        <f t="shared" si="137"/>
        <v>80.172428400000001</v>
      </c>
      <c r="Q203" s="148"/>
      <c r="R203" s="161"/>
      <c r="S203" s="14">
        <f>F203-'[1]CORREÇÃO DOS ITENS DIVERGENTES'!$P198</f>
        <v>-298.72617013650341</v>
      </c>
      <c r="T203" s="12">
        <f t="shared" si="107"/>
        <v>288.54100000000005</v>
      </c>
      <c r="V203" s="36"/>
    </row>
    <row r="204" spans="1:22" s="28" customFormat="1" ht="22.5" hidden="1">
      <c r="A204" s="122">
        <v>18014000</v>
      </c>
      <c r="B204" s="100" t="s">
        <v>175</v>
      </c>
      <c r="C204" s="100" t="s">
        <v>176</v>
      </c>
      <c r="D204" s="101" t="s">
        <v>22</v>
      </c>
      <c r="E204" s="11">
        <v>14.96</v>
      </c>
      <c r="F204" s="11">
        <f>VLOOKUP(A204,'[1]CORREÇÃO DOS ITENS DIVERGENTES'!$A$13:$G$490,7)</f>
        <v>2.8205669867418077</v>
      </c>
      <c r="G204" s="91">
        <f t="shared" si="108"/>
        <v>3.5257087334272597</v>
      </c>
      <c r="H204" s="12">
        <f>E204*G204</f>
        <v>52.744602652071805</v>
      </c>
      <c r="I204" s="23">
        <v>14.96</v>
      </c>
      <c r="J204" s="11">
        <f t="shared" si="133"/>
        <v>2.8205669867418077</v>
      </c>
      <c r="K204" s="10">
        <f t="shared" si="134"/>
        <v>3.5919920576156925</v>
      </c>
      <c r="L204" s="12">
        <f t="shared" si="138"/>
        <v>53.73620118193076</v>
      </c>
      <c r="M204" s="11">
        <v>0</v>
      </c>
      <c r="N204" s="11">
        <f t="shared" si="135"/>
        <v>2.8205669867418077</v>
      </c>
      <c r="O204" s="10">
        <f t="shared" si="136"/>
        <v>3.5919920576156925</v>
      </c>
      <c r="P204" s="12">
        <f t="shared" si="137"/>
        <v>0</v>
      </c>
      <c r="Q204" s="148"/>
      <c r="R204" s="161"/>
      <c r="S204" s="14">
        <f>F204-'[1]CORREÇÃO DOS ITENS DIVERGENTES'!$P199</f>
        <v>-6.7587171191737649</v>
      </c>
      <c r="T204" s="12">
        <f t="shared" si="107"/>
        <v>52.744602652071805</v>
      </c>
    </row>
    <row r="205" spans="1:22" s="8" customFormat="1" ht="14.25" customHeight="1">
      <c r="A205" s="139">
        <v>19000000</v>
      </c>
      <c r="B205" s="139"/>
      <c r="C205" s="139" t="s">
        <v>259</v>
      </c>
      <c r="D205" s="139"/>
      <c r="E205" s="139"/>
      <c r="F205" s="139"/>
      <c r="G205" s="139"/>
      <c r="H205" s="140">
        <f>H224</f>
        <v>207.89999999999998</v>
      </c>
      <c r="I205" s="159"/>
      <c r="J205" s="159"/>
      <c r="K205" s="27"/>
      <c r="L205" s="26">
        <f>SUM(L206:L246)</f>
        <v>10063.349797316418</v>
      </c>
      <c r="M205" s="159"/>
      <c r="N205" s="159"/>
      <c r="O205" s="27"/>
      <c r="P205" s="26">
        <f>SUM(P206:P246)</f>
        <v>1473.5977982780753</v>
      </c>
      <c r="Q205" s="160">
        <f t="shared" si="131"/>
        <v>11536.947595594493</v>
      </c>
      <c r="R205" s="159"/>
      <c r="S205" s="159"/>
      <c r="T205" s="140">
        <f>T224</f>
        <v>259.875</v>
      </c>
    </row>
    <row r="206" spans="1:22" hidden="1">
      <c r="A206" s="118">
        <v>19001000</v>
      </c>
      <c r="B206" s="89">
        <v>72434</v>
      </c>
      <c r="C206" s="89" t="s">
        <v>260</v>
      </c>
      <c r="D206" s="90" t="s">
        <v>19</v>
      </c>
      <c r="E206" s="127">
        <v>2</v>
      </c>
      <c r="F206" s="11">
        <f>VLOOKUP(A206,'[1]CORREÇÃO DOS ITENS DIVERGENTES'!$A$13:$G$490,7)</f>
        <v>3.6277103697402491</v>
      </c>
      <c r="G206" s="91">
        <f t="shared" si="108"/>
        <v>4.534637962175311</v>
      </c>
      <c r="H206" s="12">
        <f t="shared" ref="H206:H223" si="139">E206*G206</f>
        <v>9.069275924350622</v>
      </c>
      <c r="I206" s="78">
        <v>2</v>
      </c>
      <c r="J206" s="11">
        <f t="shared" ref="J206:J245" si="140">F206</f>
        <v>3.6277103697402491</v>
      </c>
      <c r="K206" s="10">
        <f t="shared" ref="K206:K245" si="141">J206*1.2735</f>
        <v>4.6198891558642075</v>
      </c>
      <c r="L206" s="12">
        <f>I206*K206</f>
        <v>9.2397783117284149</v>
      </c>
      <c r="M206" s="11">
        <v>0</v>
      </c>
      <c r="N206" s="11">
        <f t="shared" ref="N206:N245" si="142">J206</f>
        <v>3.6277103697402491</v>
      </c>
      <c r="O206" s="10">
        <f t="shared" ref="O206:O245" si="143">N206*1.2735</f>
        <v>4.6198891558642075</v>
      </c>
      <c r="P206" s="12">
        <f t="shared" si="137"/>
        <v>0</v>
      </c>
      <c r="Q206" s="148"/>
      <c r="R206" s="74"/>
      <c r="S206" s="14">
        <f>F206-'[1]CORREÇÃO DOS ITENS DIVERGENTES'!$P201</f>
        <v>-14.39553528138979</v>
      </c>
      <c r="T206" s="12">
        <f t="shared" si="107"/>
        <v>9.069275924350622</v>
      </c>
    </row>
    <row r="207" spans="1:22" hidden="1">
      <c r="A207" s="118">
        <v>19002000</v>
      </c>
      <c r="B207" s="89">
        <v>72439</v>
      </c>
      <c r="C207" s="89" t="s">
        <v>237</v>
      </c>
      <c r="D207" s="90" t="s">
        <v>19</v>
      </c>
      <c r="E207" s="127">
        <v>6</v>
      </c>
      <c r="F207" s="11">
        <f>VLOOKUP(A207,'[1]CORREÇÃO DOS ITENS DIVERGENTES'!$A$13:$G$490,7)</f>
        <v>3.3527494370704503</v>
      </c>
      <c r="G207" s="91">
        <f t="shared" si="108"/>
        <v>4.1909367963380628</v>
      </c>
      <c r="H207" s="12">
        <f t="shared" si="139"/>
        <v>25.145620778028377</v>
      </c>
      <c r="I207" s="78">
        <v>6</v>
      </c>
      <c r="J207" s="11">
        <f t="shared" si="140"/>
        <v>3.3527494370704503</v>
      </c>
      <c r="K207" s="10">
        <f t="shared" si="141"/>
        <v>4.2697264081092188</v>
      </c>
      <c r="L207" s="12">
        <f t="shared" ref="L207:L245" si="144">I207*K207</f>
        <v>25.618358448655314</v>
      </c>
      <c r="M207" s="11">
        <v>0</v>
      </c>
      <c r="N207" s="11">
        <f t="shared" si="142"/>
        <v>3.3527494370704503</v>
      </c>
      <c r="O207" s="10">
        <f t="shared" si="143"/>
        <v>4.2697264081092188</v>
      </c>
      <c r="P207" s="12">
        <f t="shared" si="137"/>
        <v>0</v>
      </c>
      <c r="Q207" s="148"/>
      <c r="R207" s="74"/>
      <c r="S207" s="14">
        <f>F207-'[1]CORREÇÃO DOS ITENS DIVERGENTES'!$P202</f>
        <v>-16.071909999925015</v>
      </c>
      <c r="T207" s="12">
        <f t="shared" si="107"/>
        <v>25.145620778028377</v>
      </c>
    </row>
    <row r="208" spans="1:22" hidden="1">
      <c r="A208" s="118">
        <v>19003000</v>
      </c>
      <c r="B208" s="89">
        <v>72440</v>
      </c>
      <c r="C208" s="89" t="s">
        <v>238</v>
      </c>
      <c r="D208" s="90" t="s">
        <v>19</v>
      </c>
      <c r="E208" s="127">
        <v>2</v>
      </c>
      <c r="F208" s="11">
        <f>VLOOKUP(A208,'[1]CORREÇÃO DOS ITENS DIVERGENTES'!$A$13:$G$490,7)</f>
        <v>4.6565964403756253</v>
      </c>
      <c r="G208" s="91">
        <f t="shared" si="108"/>
        <v>5.8207455504695318</v>
      </c>
      <c r="H208" s="12">
        <f t="shared" si="139"/>
        <v>11.641491100939064</v>
      </c>
      <c r="I208" s="78">
        <v>2</v>
      </c>
      <c r="J208" s="11">
        <f t="shared" si="140"/>
        <v>4.6565964403756253</v>
      </c>
      <c r="K208" s="10">
        <f t="shared" si="141"/>
        <v>5.9301755668183596</v>
      </c>
      <c r="L208" s="12">
        <f t="shared" si="144"/>
        <v>11.860351133636719</v>
      </c>
      <c r="M208" s="11">
        <v>0</v>
      </c>
      <c r="N208" s="11">
        <f t="shared" si="142"/>
        <v>4.6565964403756253</v>
      </c>
      <c r="O208" s="10">
        <f t="shared" si="143"/>
        <v>5.9301755668183596</v>
      </c>
      <c r="P208" s="12">
        <f t="shared" si="137"/>
        <v>0</v>
      </c>
      <c r="Q208" s="148"/>
      <c r="R208" s="74"/>
      <c r="S208" s="14">
        <f>F208-'[1]CORREÇÃO DOS ITENS DIVERGENTES'!$P203</f>
        <v>-105.23907955248914</v>
      </c>
      <c r="T208" s="12">
        <f t="shared" ref="T208:T271" si="145">E208*G208</f>
        <v>11.641491100939064</v>
      </c>
    </row>
    <row r="209" spans="1:22" hidden="1">
      <c r="A209" s="118">
        <v>19004000</v>
      </c>
      <c r="B209" s="89">
        <v>72442</v>
      </c>
      <c r="C209" s="89" t="s">
        <v>239</v>
      </c>
      <c r="D209" s="90" t="s">
        <v>19</v>
      </c>
      <c r="E209" s="127">
        <v>1</v>
      </c>
      <c r="F209" s="11">
        <f>VLOOKUP(A209,'[1]CORREÇÃO DOS ITENS DIVERGENTES'!$A$13:$G$490,7)</f>
        <v>8.8519680904664284</v>
      </c>
      <c r="G209" s="91">
        <f t="shared" si="108"/>
        <v>11.064960113083036</v>
      </c>
      <c r="H209" s="12">
        <f t="shared" si="139"/>
        <v>11.064960113083036</v>
      </c>
      <c r="I209" s="78">
        <v>1</v>
      </c>
      <c r="J209" s="11">
        <f t="shared" si="140"/>
        <v>8.8519680904664284</v>
      </c>
      <c r="K209" s="10">
        <f t="shared" si="141"/>
        <v>11.272981363208997</v>
      </c>
      <c r="L209" s="12">
        <f t="shared" si="144"/>
        <v>11.272981363208997</v>
      </c>
      <c r="M209" s="11">
        <v>0</v>
      </c>
      <c r="N209" s="11">
        <f t="shared" si="142"/>
        <v>8.8519680904664284</v>
      </c>
      <c r="O209" s="10">
        <f t="shared" si="143"/>
        <v>11.272981363208997</v>
      </c>
      <c r="P209" s="12">
        <f t="shared" si="137"/>
        <v>0</v>
      </c>
      <c r="Q209" s="148"/>
      <c r="R209" s="74"/>
      <c r="S209" s="14">
        <f>F209-'[1]CORREÇÃO DOS ITENS DIVERGENTES'!$P204</f>
        <v>6.0047919812081894</v>
      </c>
      <c r="T209" s="12">
        <f t="shared" si="145"/>
        <v>11.064960113083036</v>
      </c>
    </row>
    <row r="210" spans="1:22" hidden="1">
      <c r="A210" s="118">
        <v>19005000</v>
      </c>
      <c r="B210" s="89">
        <v>72573</v>
      </c>
      <c r="C210" s="89" t="s">
        <v>240</v>
      </c>
      <c r="D210" s="90" t="s">
        <v>19</v>
      </c>
      <c r="E210" s="127">
        <v>13</v>
      </c>
      <c r="F210" s="11">
        <f>VLOOKUP(A210,'[1]CORREÇÃO DOS ITENS DIVERGENTES'!$A$13:$G$490,7)</f>
        <v>3.0777885044006519</v>
      </c>
      <c r="G210" s="91">
        <f t="shared" si="108"/>
        <v>3.8472356305008146</v>
      </c>
      <c r="H210" s="12">
        <f t="shared" si="139"/>
        <v>50.014063196510591</v>
      </c>
      <c r="I210" s="78">
        <v>13</v>
      </c>
      <c r="J210" s="11">
        <f t="shared" si="140"/>
        <v>3.0777885044006519</v>
      </c>
      <c r="K210" s="10">
        <f t="shared" si="141"/>
        <v>3.9195636603542305</v>
      </c>
      <c r="L210" s="12">
        <f t="shared" si="144"/>
        <v>50.954327584604997</v>
      </c>
      <c r="M210" s="11">
        <v>0</v>
      </c>
      <c r="N210" s="11">
        <f t="shared" si="142"/>
        <v>3.0777885044006519</v>
      </c>
      <c r="O210" s="10">
        <f t="shared" si="143"/>
        <v>3.9195636603542305</v>
      </c>
      <c r="P210" s="12">
        <f t="shared" si="137"/>
        <v>0</v>
      </c>
      <c r="Q210" s="148"/>
      <c r="R210" s="74"/>
      <c r="S210" s="14">
        <f>F210-'[1]CORREÇÃO DOS ITENS DIVERGENTES'!$P205</f>
        <v>-1.2683681732832657</v>
      </c>
      <c r="T210" s="12">
        <f t="shared" si="145"/>
        <v>50.014063196510591</v>
      </c>
    </row>
    <row r="211" spans="1:22" hidden="1">
      <c r="A211" s="118">
        <v>19006000</v>
      </c>
      <c r="B211" s="89">
        <v>72574</v>
      </c>
      <c r="C211" s="89" t="s">
        <v>241</v>
      </c>
      <c r="D211" s="90" t="s">
        <v>19</v>
      </c>
      <c r="E211" s="127">
        <v>1</v>
      </c>
      <c r="F211" s="11">
        <f>VLOOKUP(A211,'[1]CORREÇÃO DOS ITENS DIVERGENTES'!$A$13:$G$490,7)</f>
        <v>3.503534464663566</v>
      </c>
      <c r="G211" s="91">
        <f t="shared" ref="G211:G274" si="146">F211*1.25</f>
        <v>4.3794180808294572</v>
      </c>
      <c r="H211" s="12">
        <f t="shared" si="139"/>
        <v>4.3794180808294572</v>
      </c>
      <c r="I211" s="78">
        <v>1</v>
      </c>
      <c r="J211" s="11">
        <f t="shared" si="140"/>
        <v>3.503534464663566</v>
      </c>
      <c r="K211" s="10">
        <f t="shared" si="141"/>
        <v>4.461751140749052</v>
      </c>
      <c r="L211" s="12">
        <f t="shared" si="144"/>
        <v>4.461751140749052</v>
      </c>
      <c r="M211" s="11">
        <v>0</v>
      </c>
      <c r="N211" s="11">
        <f t="shared" si="142"/>
        <v>3.503534464663566</v>
      </c>
      <c r="O211" s="10">
        <f t="shared" si="143"/>
        <v>4.461751140749052</v>
      </c>
      <c r="P211" s="12">
        <f t="shared" si="137"/>
        <v>0</v>
      </c>
      <c r="Q211" s="148"/>
      <c r="R211" s="74"/>
      <c r="S211" s="14">
        <f>F211-'[1]CORREÇÃO DOS ITENS DIVERGENTES'!$P206</f>
        <v>-0.25722151765884416</v>
      </c>
      <c r="T211" s="12">
        <f t="shared" si="145"/>
        <v>4.3794180808294572</v>
      </c>
    </row>
    <row r="212" spans="1:22" hidden="1">
      <c r="A212" s="118">
        <v>19007000</v>
      </c>
      <c r="B212" s="89">
        <v>72575</v>
      </c>
      <c r="C212" s="89" t="s">
        <v>242</v>
      </c>
      <c r="D212" s="90" t="s">
        <v>19</v>
      </c>
      <c r="E212" s="127">
        <v>2</v>
      </c>
      <c r="F212" s="11">
        <f>VLOOKUP(A212,'[1]CORREÇÃO DOS ITENS DIVERGENTES'!$A$13:$G$490,7)</f>
        <v>3.7607559823224102</v>
      </c>
      <c r="G212" s="91">
        <f t="shared" si="146"/>
        <v>4.7009449779030126</v>
      </c>
      <c r="H212" s="12">
        <f t="shared" si="139"/>
        <v>9.4018899558060252</v>
      </c>
      <c r="I212" s="78">
        <v>2</v>
      </c>
      <c r="J212" s="11">
        <f t="shared" si="140"/>
        <v>3.7607559823224102</v>
      </c>
      <c r="K212" s="10">
        <f t="shared" si="141"/>
        <v>4.78932274348759</v>
      </c>
      <c r="L212" s="12">
        <f t="shared" si="144"/>
        <v>9.57864548697518</v>
      </c>
      <c r="M212" s="11">
        <v>0</v>
      </c>
      <c r="N212" s="11">
        <f t="shared" si="142"/>
        <v>3.7607559823224102</v>
      </c>
      <c r="O212" s="10">
        <f t="shared" si="143"/>
        <v>4.78932274348759</v>
      </c>
      <c r="P212" s="12">
        <f t="shared" si="137"/>
        <v>0</v>
      </c>
      <c r="Q212" s="148"/>
      <c r="R212" s="74"/>
      <c r="S212" s="14">
        <f>F212-'[1]CORREÇÃO DOS ITENS DIVERGENTES'!$P207</f>
        <v>-2.7584790342034657</v>
      </c>
      <c r="T212" s="12">
        <f t="shared" si="145"/>
        <v>9.4018899558060252</v>
      </c>
    </row>
    <row r="213" spans="1:22" hidden="1">
      <c r="A213" s="118">
        <v>19008000</v>
      </c>
      <c r="B213" s="89">
        <v>72643</v>
      </c>
      <c r="C213" s="89" t="s">
        <v>243</v>
      </c>
      <c r="D213" s="90" t="s">
        <v>19</v>
      </c>
      <c r="E213" s="127">
        <v>10</v>
      </c>
      <c r="F213" s="11">
        <f>VLOOKUP(A213,'[1]CORREÇÃO DOS ITENS DIVERGENTES'!$A$13:$G$490,7)</f>
        <v>1.9158568211831146</v>
      </c>
      <c r="G213" s="91">
        <f t="shared" si="146"/>
        <v>2.3948210264788932</v>
      </c>
      <c r="H213" s="12">
        <f t="shared" si="139"/>
        <v>23.948210264788933</v>
      </c>
      <c r="I213" s="78">
        <v>10</v>
      </c>
      <c r="J213" s="11">
        <f t="shared" si="140"/>
        <v>1.9158568211831146</v>
      </c>
      <c r="K213" s="10">
        <f t="shared" si="141"/>
        <v>2.4398436617766968</v>
      </c>
      <c r="L213" s="12">
        <f t="shared" si="144"/>
        <v>24.398436617766968</v>
      </c>
      <c r="M213" s="11">
        <v>0</v>
      </c>
      <c r="N213" s="11">
        <f t="shared" si="142"/>
        <v>1.9158568211831146</v>
      </c>
      <c r="O213" s="10">
        <f t="shared" si="143"/>
        <v>2.4398436617766968</v>
      </c>
      <c r="P213" s="12">
        <f t="shared" si="137"/>
        <v>0</v>
      </c>
      <c r="Q213" s="148"/>
      <c r="R213" s="74"/>
      <c r="S213" s="14" t="e">
        <f>F213-'[1]CORREÇÃO DOS ITENS DIVERGENTES'!$P208</f>
        <v>#REF!</v>
      </c>
      <c r="T213" s="12">
        <f t="shared" si="145"/>
        <v>23.948210264788933</v>
      </c>
    </row>
    <row r="214" spans="1:22" hidden="1">
      <c r="A214" s="118">
        <v>19009000</v>
      </c>
      <c r="B214" s="89">
        <v>72703</v>
      </c>
      <c r="C214" s="89" t="s">
        <v>244</v>
      </c>
      <c r="D214" s="90" t="s">
        <v>19</v>
      </c>
      <c r="E214" s="127">
        <v>5</v>
      </c>
      <c r="F214" s="11">
        <f>VLOOKUP(A214,'[1]CORREÇÃO DOS ITENS DIVERGENTES'!$A$13:$G$490,7)</f>
        <v>4.3461566776839176</v>
      </c>
      <c r="G214" s="91">
        <f t="shared" si="146"/>
        <v>5.4326958471048972</v>
      </c>
      <c r="H214" s="12">
        <f t="shared" si="139"/>
        <v>27.163479235524484</v>
      </c>
      <c r="I214" s="78">
        <v>5</v>
      </c>
      <c r="J214" s="11">
        <f t="shared" si="140"/>
        <v>4.3461566776839176</v>
      </c>
      <c r="K214" s="10">
        <f t="shared" si="141"/>
        <v>5.5348305290304696</v>
      </c>
      <c r="L214" s="12">
        <f t="shared" si="144"/>
        <v>27.674152645152347</v>
      </c>
      <c r="M214" s="11">
        <v>0</v>
      </c>
      <c r="N214" s="11">
        <f t="shared" si="142"/>
        <v>4.3461566776839176</v>
      </c>
      <c r="O214" s="10">
        <f t="shared" si="143"/>
        <v>5.5348305290304696</v>
      </c>
      <c r="P214" s="12">
        <f t="shared" si="137"/>
        <v>0</v>
      </c>
      <c r="Q214" s="148"/>
      <c r="R214" s="74"/>
      <c r="S214" s="14">
        <f>F214-'[1]CORREÇÃO DOS ITENS DIVERGENTES'!$P209</f>
        <v>-18.440121903887476</v>
      </c>
      <c r="T214" s="12">
        <f t="shared" si="145"/>
        <v>27.163479235524484</v>
      </c>
    </row>
    <row r="215" spans="1:22" ht="22.5" hidden="1">
      <c r="A215" s="118">
        <v>19010000</v>
      </c>
      <c r="B215" s="89">
        <v>72784</v>
      </c>
      <c r="C215" s="89" t="s">
        <v>245</v>
      </c>
      <c r="D215" s="90" t="s">
        <v>19</v>
      </c>
      <c r="E215" s="127">
        <v>2</v>
      </c>
      <c r="F215" s="11">
        <f>VLOOKUP(A215,'[1]CORREÇÃO DOS ITENS DIVERGENTES'!$A$13:$G$490,7)</f>
        <v>7.7432546522817551</v>
      </c>
      <c r="G215" s="91">
        <f t="shared" si="146"/>
        <v>9.6790683153521933</v>
      </c>
      <c r="H215" s="12">
        <f t="shared" si="139"/>
        <v>19.358136630704387</v>
      </c>
      <c r="I215" s="78">
        <v>2</v>
      </c>
      <c r="J215" s="11">
        <f t="shared" si="140"/>
        <v>7.7432546522817551</v>
      </c>
      <c r="K215" s="10">
        <f t="shared" si="141"/>
        <v>9.8610347996808159</v>
      </c>
      <c r="L215" s="12">
        <f t="shared" si="144"/>
        <v>19.722069599361632</v>
      </c>
      <c r="M215" s="11">
        <v>0</v>
      </c>
      <c r="N215" s="11">
        <f t="shared" si="142"/>
        <v>7.7432546522817551</v>
      </c>
      <c r="O215" s="10">
        <f t="shared" si="143"/>
        <v>9.8610347996808159</v>
      </c>
      <c r="P215" s="12">
        <f t="shared" si="137"/>
        <v>0</v>
      </c>
      <c r="Q215" s="148"/>
      <c r="R215" s="74"/>
      <c r="S215" s="14">
        <f>F215-'[1]CORREÇÃO DOS ITENS DIVERGENTES'!$P210</f>
        <v>-10.421906318935925</v>
      </c>
      <c r="T215" s="12">
        <f t="shared" si="145"/>
        <v>19.358136630704387</v>
      </c>
    </row>
    <row r="216" spans="1:22" ht="22.5" hidden="1">
      <c r="A216" s="118">
        <v>19011000</v>
      </c>
      <c r="B216" s="89">
        <v>72785</v>
      </c>
      <c r="C216" s="89" t="s">
        <v>246</v>
      </c>
      <c r="D216" s="90" t="s">
        <v>19</v>
      </c>
      <c r="E216" s="127">
        <v>4</v>
      </c>
      <c r="F216" s="11">
        <f>VLOOKUP(A216,'[1]CORREÇÃO DOS ITENS DIVERGENTES'!$A$13:$G$490,7)</f>
        <v>12.515157290228586</v>
      </c>
      <c r="G216" s="91">
        <f t="shared" si="146"/>
        <v>15.643946612785733</v>
      </c>
      <c r="H216" s="12">
        <f t="shared" si="139"/>
        <v>62.575786451142932</v>
      </c>
      <c r="I216" s="78">
        <v>4</v>
      </c>
      <c r="J216" s="11">
        <f t="shared" si="140"/>
        <v>12.515157290228586</v>
      </c>
      <c r="K216" s="10">
        <f t="shared" si="141"/>
        <v>15.938052809106106</v>
      </c>
      <c r="L216" s="12">
        <f t="shared" si="144"/>
        <v>63.752211236424422</v>
      </c>
      <c r="M216" s="11">
        <v>0</v>
      </c>
      <c r="N216" s="11">
        <f t="shared" si="142"/>
        <v>12.515157290228586</v>
      </c>
      <c r="O216" s="10">
        <f t="shared" si="143"/>
        <v>15.938052809106106</v>
      </c>
      <c r="P216" s="12">
        <f t="shared" si="137"/>
        <v>0</v>
      </c>
      <c r="Q216" s="148"/>
      <c r="R216" s="74"/>
      <c r="S216" s="14">
        <f>F216-'[1]CORREÇÃO DOS ITENS DIVERGENTES'!$P211</f>
        <v>-10.279990998848284</v>
      </c>
      <c r="T216" s="12">
        <f t="shared" si="145"/>
        <v>62.575786451142932</v>
      </c>
    </row>
    <row r="217" spans="1:22" ht="22.5" hidden="1">
      <c r="A217" s="118">
        <v>19012000</v>
      </c>
      <c r="B217" s="89">
        <v>72787</v>
      </c>
      <c r="C217" s="89" t="s">
        <v>247</v>
      </c>
      <c r="D217" s="90" t="s">
        <v>19</v>
      </c>
      <c r="E217" s="127">
        <v>2</v>
      </c>
      <c r="F217" s="11">
        <f>VLOOKUP(A217,'[1]CORREÇÃO DOS ITENS DIVERGENTES'!$A$13:$G$490,7)</f>
        <v>17.162884023098737</v>
      </c>
      <c r="G217" s="91">
        <f t="shared" si="146"/>
        <v>21.453605028873422</v>
      </c>
      <c r="H217" s="12">
        <f t="shared" si="139"/>
        <v>42.907210057746845</v>
      </c>
      <c r="I217" s="78">
        <v>2</v>
      </c>
      <c r="J217" s="11">
        <f t="shared" si="140"/>
        <v>17.162884023098737</v>
      </c>
      <c r="K217" s="10">
        <f t="shared" si="141"/>
        <v>21.856932803416242</v>
      </c>
      <c r="L217" s="12">
        <f t="shared" si="144"/>
        <v>43.713865606832485</v>
      </c>
      <c r="M217" s="11">
        <v>0</v>
      </c>
      <c r="N217" s="11">
        <f t="shared" si="142"/>
        <v>17.162884023098737</v>
      </c>
      <c r="O217" s="10">
        <f t="shared" si="143"/>
        <v>21.856932803416242</v>
      </c>
      <c r="P217" s="12">
        <f t="shared" si="137"/>
        <v>0</v>
      </c>
      <c r="Q217" s="148"/>
      <c r="R217" s="74"/>
      <c r="S217" s="14">
        <f>F217-'[1]CORREÇÃO DOS ITENS DIVERGENTES'!$P212</f>
        <v>9.0027531180595464</v>
      </c>
      <c r="T217" s="12">
        <f t="shared" si="145"/>
        <v>42.907210057746845</v>
      </c>
    </row>
    <row r="218" spans="1:22" ht="22.5" hidden="1">
      <c r="A218" s="118">
        <v>19013000</v>
      </c>
      <c r="B218" s="89">
        <v>73636</v>
      </c>
      <c r="C218" s="89" t="s">
        <v>248</v>
      </c>
      <c r="D218" s="90" t="s">
        <v>19</v>
      </c>
      <c r="E218" s="127">
        <v>2</v>
      </c>
      <c r="F218" s="11">
        <f>VLOOKUP(A218,'[1]CORREÇÃO DOS ITENS DIVERGENTES'!$A$13:$G$490,7)</f>
        <v>8.1157823675118053</v>
      </c>
      <c r="G218" s="91">
        <f t="shared" si="146"/>
        <v>10.144727959389757</v>
      </c>
      <c r="H218" s="12">
        <f t="shared" si="139"/>
        <v>20.289455918779513</v>
      </c>
      <c r="I218" s="78">
        <v>2</v>
      </c>
      <c r="J218" s="11">
        <f t="shared" si="140"/>
        <v>8.1157823675118053</v>
      </c>
      <c r="K218" s="10">
        <f t="shared" si="141"/>
        <v>10.335448845026285</v>
      </c>
      <c r="L218" s="12">
        <f t="shared" si="144"/>
        <v>20.67089769005257</v>
      </c>
      <c r="M218" s="11">
        <v>0</v>
      </c>
      <c r="N218" s="11">
        <f t="shared" si="142"/>
        <v>8.1157823675118053</v>
      </c>
      <c r="O218" s="10">
        <f t="shared" si="143"/>
        <v>10.335448845026285</v>
      </c>
      <c r="P218" s="12">
        <f t="shared" si="137"/>
        <v>0</v>
      </c>
      <c r="Q218" s="148"/>
      <c r="R218" s="74"/>
      <c r="S218" s="14">
        <f>F218-'[1]CORREÇÃO DOS ITENS DIVERGENTES'!$P213</f>
        <v>-6.9449809767887896</v>
      </c>
      <c r="T218" s="12">
        <f t="shared" si="145"/>
        <v>20.289455918779513</v>
      </c>
    </row>
    <row r="219" spans="1:22" ht="22.5" hidden="1">
      <c r="A219" s="118">
        <v>19014000</v>
      </c>
      <c r="B219" s="89">
        <v>73642</v>
      </c>
      <c r="C219" s="89" t="s">
        <v>249</v>
      </c>
      <c r="D219" s="90" t="s">
        <v>19</v>
      </c>
      <c r="E219" s="127">
        <v>19</v>
      </c>
      <c r="F219" s="11">
        <f>VLOOKUP(A219,'[1]CORREÇÃO DOS ITENS DIVERGENTES'!$A$13:$G$490,7)</f>
        <v>5.9604434436808003</v>
      </c>
      <c r="G219" s="91">
        <f t="shared" si="146"/>
        <v>7.4505543046010008</v>
      </c>
      <c r="H219" s="12">
        <f t="shared" si="139"/>
        <v>141.56053178741902</v>
      </c>
      <c r="I219" s="78">
        <v>19</v>
      </c>
      <c r="J219" s="11">
        <f t="shared" si="140"/>
        <v>5.9604434436808003</v>
      </c>
      <c r="K219" s="10">
        <f t="shared" si="141"/>
        <v>7.5906247255274995</v>
      </c>
      <c r="L219" s="12">
        <f t="shared" si="144"/>
        <v>144.22186978502248</v>
      </c>
      <c r="M219" s="11">
        <v>0</v>
      </c>
      <c r="N219" s="11">
        <f t="shared" si="142"/>
        <v>5.9604434436808003</v>
      </c>
      <c r="O219" s="10">
        <f t="shared" si="143"/>
        <v>7.5906247255274995</v>
      </c>
      <c r="P219" s="12">
        <f t="shared" si="137"/>
        <v>0</v>
      </c>
      <c r="Q219" s="148"/>
      <c r="R219" s="74"/>
      <c r="S219" s="14">
        <f>F219-'[1]CORREÇÃO DOS ITENS DIVERGENTES'!$P214</f>
        <v>-18.865867864150388</v>
      </c>
      <c r="T219" s="12">
        <f t="shared" si="145"/>
        <v>141.56053178741902</v>
      </c>
    </row>
    <row r="220" spans="1:22" ht="22.5" hidden="1">
      <c r="A220" s="118">
        <v>19015000</v>
      </c>
      <c r="B220" s="89">
        <v>73643</v>
      </c>
      <c r="C220" s="89" t="s">
        <v>250</v>
      </c>
      <c r="D220" s="90" t="s">
        <v>19</v>
      </c>
      <c r="E220" s="127">
        <v>5</v>
      </c>
      <c r="F220" s="11">
        <f>VLOOKUP(A220,'[1]CORREÇÃO DOS ITENS DIVERGENTES'!$A$13:$G$490,7)</f>
        <v>4.390505215211304</v>
      </c>
      <c r="G220" s="91">
        <f t="shared" si="146"/>
        <v>5.4881315190141304</v>
      </c>
      <c r="H220" s="12">
        <f t="shared" si="139"/>
        <v>27.440657595070654</v>
      </c>
      <c r="I220" s="78">
        <v>5</v>
      </c>
      <c r="J220" s="11">
        <f t="shared" si="140"/>
        <v>4.390505215211304</v>
      </c>
      <c r="K220" s="10">
        <f t="shared" si="141"/>
        <v>5.5913083915715962</v>
      </c>
      <c r="L220" s="12">
        <f t="shared" si="144"/>
        <v>27.956541957857979</v>
      </c>
      <c r="M220" s="11">
        <v>0</v>
      </c>
      <c r="N220" s="11">
        <f t="shared" si="142"/>
        <v>4.390505215211304</v>
      </c>
      <c r="O220" s="10">
        <f t="shared" si="143"/>
        <v>5.5913083915715962</v>
      </c>
      <c r="P220" s="12">
        <f t="shared" si="137"/>
        <v>0</v>
      </c>
      <c r="Q220" s="148"/>
      <c r="R220" s="74"/>
      <c r="S220" s="14">
        <f>F220-'[1]CORREÇÃO DOS ITENS DIVERGENTES'!$P215</f>
        <v>-20.826073222860892</v>
      </c>
      <c r="T220" s="12">
        <f t="shared" si="145"/>
        <v>27.440657595070654</v>
      </c>
    </row>
    <row r="221" spans="1:22" ht="22.5" hidden="1">
      <c r="A221" s="118">
        <v>19016000</v>
      </c>
      <c r="B221" s="89">
        <v>73647</v>
      </c>
      <c r="C221" s="89" t="s">
        <v>251</v>
      </c>
      <c r="D221" s="90" t="s">
        <v>19</v>
      </c>
      <c r="E221" s="127">
        <v>1</v>
      </c>
      <c r="F221" s="11">
        <f>VLOOKUP(A221,'[1]CORREÇÃO DOS ITENS DIVERGENTES'!$A$13:$G$490,7)</f>
        <v>4.1421534050579378</v>
      </c>
      <c r="G221" s="91">
        <f t="shared" si="146"/>
        <v>5.1776917563224227</v>
      </c>
      <c r="H221" s="12">
        <f t="shared" si="139"/>
        <v>5.1776917563224227</v>
      </c>
      <c r="I221" s="78">
        <v>1</v>
      </c>
      <c r="J221" s="11">
        <f t="shared" si="140"/>
        <v>4.1421534050579378</v>
      </c>
      <c r="K221" s="10">
        <f t="shared" si="141"/>
        <v>5.2750323613412844</v>
      </c>
      <c r="L221" s="12">
        <f t="shared" si="144"/>
        <v>5.2750323613412844</v>
      </c>
      <c r="M221" s="11">
        <v>0</v>
      </c>
      <c r="N221" s="11">
        <f t="shared" si="142"/>
        <v>4.1421534050579378</v>
      </c>
      <c r="O221" s="10">
        <f t="shared" si="143"/>
        <v>5.2750323613412844</v>
      </c>
      <c r="P221" s="12">
        <f t="shared" si="137"/>
        <v>0</v>
      </c>
      <c r="Q221" s="148"/>
      <c r="R221" s="74"/>
      <c r="S221" s="14">
        <f>F221-'[1]CORREÇÃO DOS ITENS DIVERGENTES'!$P216</f>
        <v>-3.6897983222785911</v>
      </c>
      <c r="T221" s="12">
        <f t="shared" si="145"/>
        <v>5.1776917563224227</v>
      </c>
    </row>
    <row r="222" spans="1:22" hidden="1">
      <c r="A222" s="118">
        <v>19017000</v>
      </c>
      <c r="B222" s="89" t="s">
        <v>252</v>
      </c>
      <c r="C222" s="89" t="s">
        <v>253</v>
      </c>
      <c r="D222" s="90" t="s">
        <v>102</v>
      </c>
      <c r="E222" s="127">
        <v>0.28000000000000003</v>
      </c>
      <c r="F222" s="11">
        <f>VLOOKUP(A222,'[1]CORREÇÃO DOS ITENS DIVERGENTES'!$A$13:$G$490,7)</f>
        <v>5.224257720726178</v>
      </c>
      <c r="G222" s="91">
        <f t="shared" si="146"/>
        <v>6.5303221509077227</v>
      </c>
      <c r="H222" s="12">
        <f t="shared" si="139"/>
        <v>1.8284902022541625</v>
      </c>
      <c r="I222" s="78">
        <v>0.28000000000000003</v>
      </c>
      <c r="J222" s="11">
        <f t="shared" si="140"/>
        <v>5.224257720726178</v>
      </c>
      <c r="K222" s="10">
        <f t="shared" si="141"/>
        <v>6.6530922073447885</v>
      </c>
      <c r="L222" s="12">
        <f t="shared" si="144"/>
        <v>1.8628658180565409</v>
      </c>
      <c r="M222" s="11">
        <v>0</v>
      </c>
      <c r="N222" s="11">
        <f t="shared" si="142"/>
        <v>5.224257720726178</v>
      </c>
      <c r="O222" s="10">
        <f t="shared" si="143"/>
        <v>6.6530922073447885</v>
      </c>
      <c r="P222" s="12">
        <f t="shared" si="137"/>
        <v>0</v>
      </c>
      <c r="Q222" s="148"/>
      <c r="R222" s="74"/>
      <c r="S222" s="14">
        <f>F222-'[1]CORREÇÃO DOS ITENS DIVERGENTES'!$P217</f>
        <v>-1.3659349558435165</v>
      </c>
      <c r="T222" s="12">
        <f t="shared" si="145"/>
        <v>1.8284902022541625</v>
      </c>
    </row>
    <row r="223" spans="1:22" ht="22.5" hidden="1">
      <c r="A223" s="118">
        <v>19018000</v>
      </c>
      <c r="B223" s="89" t="s">
        <v>254</v>
      </c>
      <c r="C223" s="89" t="s">
        <v>255</v>
      </c>
      <c r="D223" s="90" t="s">
        <v>102</v>
      </c>
      <c r="E223" s="127">
        <v>6.51</v>
      </c>
      <c r="F223" s="11">
        <f>VLOOKUP(A223,'[1]CORREÇÃO DOS ITENS DIVERGENTES'!$A$13:$G$490,7)</f>
        <v>8.3641341776651714</v>
      </c>
      <c r="G223" s="91">
        <f t="shared" si="146"/>
        <v>10.455167722081464</v>
      </c>
      <c r="H223" s="12">
        <f t="shared" si="139"/>
        <v>68.063141870750329</v>
      </c>
      <c r="I223" s="78">
        <v>6.51</v>
      </c>
      <c r="J223" s="11">
        <f t="shared" si="140"/>
        <v>8.3641341776651714</v>
      </c>
      <c r="K223" s="10">
        <f t="shared" si="141"/>
        <v>10.651724875256596</v>
      </c>
      <c r="L223" s="12">
        <f t="shared" si="144"/>
        <v>69.342728937920441</v>
      </c>
      <c r="M223" s="11">
        <v>0</v>
      </c>
      <c r="N223" s="11">
        <f t="shared" si="142"/>
        <v>8.3641341776651714</v>
      </c>
      <c r="O223" s="10">
        <f t="shared" si="143"/>
        <v>10.651724875256596</v>
      </c>
      <c r="P223" s="12">
        <f t="shared" si="137"/>
        <v>0</v>
      </c>
      <c r="Q223" s="148"/>
      <c r="R223" s="74"/>
      <c r="S223" s="14">
        <f>F223-'[1]CORREÇÃO DOS ITENS DIVERGENTES'!$P218</f>
        <v>-2.9536125993239679</v>
      </c>
      <c r="T223" s="12">
        <f t="shared" si="145"/>
        <v>68.063141870750329</v>
      </c>
    </row>
    <row r="224" spans="1:22" ht="22.5">
      <c r="A224" s="118">
        <v>19019000</v>
      </c>
      <c r="B224" s="89">
        <v>11762</v>
      </c>
      <c r="C224" s="89" t="s">
        <v>261</v>
      </c>
      <c r="D224" s="90" t="s">
        <v>19</v>
      </c>
      <c r="E224" s="127">
        <v>5</v>
      </c>
      <c r="F224" s="35">
        <v>41.58</v>
      </c>
      <c r="G224" s="91">
        <f t="shared" si="146"/>
        <v>51.974999999999994</v>
      </c>
      <c r="H224" s="12">
        <f>E224*F224</f>
        <v>207.89999999999998</v>
      </c>
      <c r="I224" s="78">
        <v>5</v>
      </c>
      <c r="J224" s="11">
        <f t="shared" si="140"/>
        <v>41.58</v>
      </c>
      <c r="K224" s="10">
        <f t="shared" si="141"/>
        <v>52.952130000000004</v>
      </c>
      <c r="L224" s="12">
        <f t="shared" si="144"/>
        <v>264.76065</v>
      </c>
      <c r="M224" s="11">
        <v>0</v>
      </c>
      <c r="N224" s="11">
        <f t="shared" si="142"/>
        <v>41.58</v>
      </c>
      <c r="O224" s="10">
        <f t="shared" si="143"/>
        <v>52.952130000000004</v>
      </c>
      <c r="P224" s="12">
        <f t="shared" si="137"/>
        <v>0</v>
      </c>
      <c r="Q224" s="148"/>
      <c r="R224" s="74"/>
      <c r="S224" s="14">
        <f>F224-'[1]CORREÇÃO DOS ITENS DIVERGENTES'!$P219</f>
        <v>37.748286357633766</v>
      </c>
      <c r="T224" s="12">
        <f t="shared" si="145"/>
        <v>259.875</v>
      </c>
      <c r="V224" s="36"/>
    </row>
    <row r="225" spans="1:20" hidden="1">
      <c r="A225" s="118">
        <v>20005000</v>
      </c>
      <c r="B225" s="89">
        <v>72541</v>
      </c>
      <c r="C225" s="89" t="s">
        <v>262</v>
      </c>
      <c r="D225" s="90" t="s">
        <v>19</v>
      </c>
      <c r="E225" s="91">
        <v>7</v>
      </c>
      <c r="F225" s="11">
        <f>VLOOKUP(A225,'[1]CORREÇÃO DOS ITENS DIVERGENTES'!$A$13:$G$490,7)</f>
        <v>15.060763344300595</v>
      </c>
      <c r="G225" s="91">
        <f t="shared" si="146"/>
        <v>18.825954180375742</v>
      </c>
      <c r="H225" s="12">
        <f t="shared" ref="H225:H245" si="147">E225*G225</f>
        <v>131.78167926263021</v>
      </c>
      <c r="I225" s="22">
        <v>7</v>
      </c>
      <c r="J225" s="11">
        <f t="shared" si="140"/>
        <v>15.060763344300595</v>
      </c>
      <c r="K225" s="10">
        <f t="shared" si="141"/>
        <v>19.179882118966809</v>
      </c>
      <c r="L225" s="12">
        <f t="shared" si="144"/>
        <v>134.25917483276766</v>
      </c>
      <c r="M225" s="11">
        <v>0</v>
      </c>
      <c r="N225" s="11">
        <f t="shared" si="142"/>
        <v>15.060763344300595</v>
      </c>
      <c r="O225" s="10">
        <f t="shared" si="143"/>
        <v>19.179882118966809</v>
      </c>
      <c r="P225" s="12">
        <f t="shared" si="137"/>
        <v>0</v>
      </c>
      <c r="Q225" s="148"/>
      <c r="R225" s="74"/>
      <c r="S225" s="14">
        <f>F225-'[1]CORREÇÃO DOS ITENS DIVERGENTES'!$P213</f>
        <v>0</v>
      </c>
      <c r="T225" s="12">
        <f t="shared" si="145"/>
        <v>131.78167926263021</v>
      </c>
    </row>
    <row r="226" spans="1:20" hidden="1">
      <c r="A226" s="118">
        <v>20006000</v>
      </c>
      <c r="B226" s="89">
        <v>72542</v>
      </c>
      <c r="C226" s="89" t="s">
        <v>263</v>
      </c>
      <c r="D226" s="90" t="s">
        <v>19</v>
      </c>
      <c r="E226" s="91">
        <v>18</v>
      </c>
      <c r="F226" s="11">
        <f>VLOOKUP(A226,'[1]CORREÇÃO DOS ITENS DIVERGENTES'!$A$13:$G$490,7)</f>
        <v>24.82631130783119</v>
      </c>
      <c r="G226" s="91">
        <f t="shared" si="146"/>
        <v>31.032889134788988</v>
      </c>
      <c r="H226" s="12">
        <f t="shared" si="147"/>
        <v>558.59200442620181</v>
      </c>
      <c r="I226" s="22">
        <v>18</v>
      </c>
      <c r="J226" s="11">
        <f t="shared" si="140"/>
        <v>24.82631130783119</v>
      </c>
      <c r="K226" s="10">
        <f t="shared" si="141"/>
        <v>31.616307450523024</v>
      </c>
      <c r="L226" s="12">
        <f t="shared" si="144"/>
        <v>569.09353410941446</v>
      </c>
      <c r="M226" s="11">
        <v>0</v>
      </c>
      <c r="N226" s="11">
        <f t="shared" si="142"/>
        <v>24.82631130783119</v>
      </c>
      <c r="O226" s="10">
        <f t="shared" si="143"/>
        <v>31.616307450523024</v>
      </c>
      <c r="P226" s="12">
        <f t="shared" si="137"/>
        <v>0</v>
      </c>
      <c r="Q226" s="148"/>
      <c r="R226" s="74"/>
      <c r="S226" s="14">
        <f>F226-'[1]CORREÇÃO DOS ITENS DIVERGENTES'!$P214</f>
        <v>0</v>
      </c>
      <c r="T226" s="12">
        <f t="shared" si="145"/>
        <v>558.59200442620181</v>
      </c>
    </row>
    <row r="227" spans="1:20" hidden="1">
      <c r="A227" s="118">
        <v>20007000</v>
      </c>
      <c r="B227" s="89">
        <v>72543</v>
      </c>
      <c r="C227" s="89" t="s">
        <v>264</v>
      </c>
      <c r="D227" s="90" t="s">
        <v>19</v>
      </c>
      <c r="E227" s="91">
        <v>8</v>
      </c>
      <c r="F227" s="11">
        <f>VLOOKUP(A227,'[1]CORREÇÃO DOS ITENS DIVERGENTES'!$A$13:$G$490,7)</f>
        <v>25.216578438072197</v>
      </c>
      <c r="G227" s="91">
        <f t="shared" si="146"/>
        <v>31.520723047590245</v>
      </c>
      <c r="H227" s="12">
        <f t="shared" si="147"/>
        <v>252.16578438072196</v>
      </c>
      <c r="I227" s="22">
        <v>8</v>
      </c>
      <c r="J227" s="11">
        <f t="shared" si="140"/>
        <v>25.216578438072197</v>
      </c>
      <c r="K227" s="10">
        <f t="shared" si="141"/>
        <v>32.113312640884942</v>
      </c>
      <c r="L227" s="12">
        <f t="shared" si="144"/>
        <v>256.90650112707954</v>
      </c>
      <c r="M227" s="11">
        <v>0</v>
      </c>
      <c r="N227" s="11">
        <f t="shared" si="142"/>
        <v>25.216578438072197</v>
      </c>
      <c r="O227" s="10">
        <f t="shared" si="143"/>
        <v>32.113312640884942</v>
      </c>
      <c r="P227" s="12">
        <f t="shared" si="137"/>
        <v>0</v>
      </c>
      <c r="Q227" s="148"/>
      <c r="R227" s="74"/>
      <c r="S227" s="14">
        <f>F227-'[1]CORREÇÃO DOS ITENS DIVERGENTES'!$P215</f>
        <v>0</v>
      </c>
      <c r="T227" s="12">
        <f t="shared" si="145"/>
        <v>252.16578438072196</v>
      </c>
    </row>
    <row r="228" spans="1:20" hidden="1">
      <c r="A228" s="118">
        <v>20008000</v>
      </c>
      <c r="B228" s="89">
        <v>72544</v>
      </c>
      <c r="C228" s="89" t="s">
        <v>265</v>
      </c>
      <c r="D228" s="90" t="s">
        <v>19</v>
      </c>
      <c r="E228" s="91">
        <v>4</v>
      </c>
      <c r="F228" s="11">
        <f>VLOOKUP(A228,'[1]CORREÇÃO DOS ITENS DIVERGENTES'!$A$13:$G$490,7)</f>
        <v>7.8319517273365289</v>
      </c>
      <c r="G228" s="91">
        <f t="shared" si="146"/>
        <v>9.7899396591706616</v>
      </c>
      <c r="H228" s="12">
        <f t="shared" si="147"/>
        <v>39.159758636682646</v>
      </c>
      <c r="I228" s="22">
        <v>4</v>
      </c>
      <c r="J228" s="11">
        <f t="shared" si="140"/>
        <v>7.8319517273365289</v>
      </c>
      <c r="K228" s="10">
        <f t="shared" si="141"/>
        <v>9.9739905247630709</v>
      </c>
      <c r="L228" s="12">
        <f t="shared" si="144"/>
        <v>39.895962099052284</v>
      </c>
      <c r="M228" s="11">
        <v>0</v>
      </c>
      <c r="N228" s="11">
        <f t="shared" si="142"/>
        <v>7.8319517273365289</v>
      </c>
      <c r="O228" s="10">
        <f t="shared" si="143"/>
        <v>9.9739905247630709</v>
      </c>
      <c r="P228" s="12">
        <f t="shared" si="137"/>
        <v>0</v>
      </c>
      <c r="Q228" s="148"/>
      <c r="R228" s="74"/>
      <c r="S228" s="14">
        <f>F228-'[1]CORREÇÃO DOS ITENS DIVERGENTES'!$P216</f>
        <v>0</v>
      </c>
      <c r="T228" s="12">
        <f t="shared" si="145"/>
        <v>39.159758636682646</v>
      </c>
    </row>
    <row r="229" spans="1:20" hidden="1">
      <c r="A229" s="118">
        <v>20009000</v>
      </c>
      <c r="B229" s="89">
        <v>72545</v>
      </c>
      <c r="C229" s="89" t="s">
        <v>266</v>
      </c>
      <c r="D229" s="90" t="s">
        <v>19</v>
      </c>
      <c r="E229" s="91">
        <v>1</v>
      </c>
      <c r="F229" s="11">
        <f>VLOOKUP(A229,'[1]CORREÇÃO DOS ITENS DIVERGENTES'!$A$13:$G$490,7)</f>
        <v>6.5901926765696945</v>
      </c>
      <c r="G229" s="91">
        <f t="shared" si="146"/>
        <v>8.2377408457121177</v>
      </c>
      <c r="H229" s="12">
        <f t="shared" si="147"/>
        <v>8.2377408457121177</v>
      </c>
      <c r="I229" s="22">
        <v>1</v>
      </c>
      <c r="J229" s="11">
        <f t="shared" si="140"/>
        <v>6.5901926765696945</v>
      </c>
      <c r="K229" s="10">
        <f t="shared" si="141"/>
        <v>8.3926103736115056</v>
      </c>
      <c r="L229" s="12">
        <f t="shared" si="144"/>
        <v>8.3926103736115056</v>
      </c>
      <c r="M229" s="11">
        <v>0</v>
      </c>
      <c r="N229" s="11">
        <f t="shared" si="142"/>
        <v>6.5901926765696945</v>
      </c>
      <c r="O229" s="10">
        <f t="shared" si="143"/>
        <v>8.3926103736115056</v>
      </c>
      <c r="P229" s="12">
        <f t="shared" si="137"/>
        <v>0</v>
      </c>
      <c r="Q229" s="148"/>
      <c r="R229" s="74"/>
      <c r="S229" s="14">
        <f>F229-'[1]CORREÇÃO DOS ITENS DIVERGENTES'!$P217</f>
        <v>0</v>
      </c>
      <c r="T229" s="12">
        <f t="shared" si="145"/>
        <v>8.2377408457121177</v>
      </c>
    </row>
    <row r="230" spans="1:20" hidden="1">
      <c r="A230" s="118">
        <v>20010000</v>
      </c>
      <c r="B230" s="89">
        <v>72546</v>
      </c>
      <c r="C230" s="89" t="s">
        <v>267</v>
      </c>
      <c r="D230" s="90" t="s">
        <v>19</v>
      </c>
      <c r="E230" s="91">
        <v>3</v>
      </c>
      <c r="F230" s="11">
        <f>VLOOKUP(A230,'[1]CORREÇÃO DOS ITENS DIVERGENTES'!$A$13:$G$490,7)</f>
        <v>11.317746776989139</v>
      </c>
      <c r="G230" s="91">
        <f t="shared" si="146"/>
        <v>14.147183471236424</v>
      </c>
      <c r="H230" s="12">
        <f t="shared" si="147"/>
        <v>42.441550413709273</v>
      </c>
      <c r="I230" s="22">
        <v>3</v>
      </c>
      <c r="J230" s="11">
        <f t="shared" si="140"/>
        <v>11.317746776989139</v>
      </c>
      <c r="K230" s="10">
        <f t="shared" si="141"/>
        <v>14.41315052049567</v>
      </c>
      <c r="L230" s="12">
        <f t="shared" si="144"/>
        <v>43.239451561487009</v>
      </c>
      <c r="M230" s="11">
        <v>0</v>
      </c>
      <c r="N230" s="11">
        <f t="shared" si="142"/>
        <v>11.317746776989139</v>
      </c>
      <c r="O230" s="10">
        <f t="shared" si="143"/>
        <v>14.41315052049567</v>
      </c>
      <c r="P230" s="12">
        <f t="shared" si="137"/>
        <v>0</v>
      </c>
      <c r="Q230" s="148"/>
      <c r="R230" s="74"/>
      <c r="S230" s="14">
        <f>F230-'[1]CORREÇÃO DOS ITENS DIVERGENTES'!$P218</f>
        <v>0</v>
      </c>
      <c r="T230" s="12">
        <f t="shared" si="145"/>
        <v>42.441550413709273</v>
      </c>
    </row>
    <row r="231" spans="1:20" hidden="1">
      <c r="A231" s="118">
        <v>20011000</v>
      </c>
      <c r="B231" s="89">
        <v>72547</v>
      </c>
      <c r="C231" s="89" t="s">
        <v>268</v>
      </c>
      <c r="D231" s="90" t="s">
        <v>19</v>
      </c>
      <c r="E231" s="91">
        <v>8</v>
      </c>
      <c r="F231" s="11">
        <f>VLOOKUP(A231,'[1]CORREÇÃO DOS ITENS DIVERGENTES'!$A$13:$G$490,7)</f>
        <v>3.8317136423662292</v>
      </c>
      <c r="G231" s="91">
        <f t="shared" si="146"/>
        <v>4.7896420529577863</v>
      </c>
      <c r="H231" s="12">
        <f t="shared" si="147"/>
        <v>38.317136423662291</v>
      </c>
      <c r="I231" s="22">
        <v>8</v>
      </c>
      <c r="J231" s="11">
        <f t="shared" si="140"/>
        <v>3.8317136423662292</v>
      </c>
      <c r="K231" s="10">
        <f t="shared" si="141"/>
        <v>4.8796873235533935</v>
      </c>
      <c r="L231" s="12">
        <f t="shared" si="144"/>
        <v>39.037498588427148</v>
      </c>
      <c r="M231" s="11">
        <v>0</v>
      </c>
      <c r="N231" s="11">
        <f t="shared" si="142"/>
        <v>3.8317136423662292</v>
      </c>
      <c r="O231" s="10">
        <f t="shared" si="143"/>
        <v>4.8796873235533935</v>
      </c>
      <c r="P231" s="12">
        <f t="shared" si="137"/>
        <v>0</v>
      </c>
      <c r="Q231" s="148"/>
      <c r="R231" s="74"/>
      <c r="S231" s="14">
        <f>F231-'[1]CORREÇÃO DOS ITENS DIVERGENTES'!$P219</f>
        <v>0</v>
      </c>
      <c r="T231" s="12">
        <f t="shared" si="145"/>
        <v>38.317136423662291</v>
      </c>
    </row>
    <row r="232" spans="1:20" hidden="1">
      <c r="A232" s="118">
        <v>20012000</v>
      </c>
      <c r="B232" s="89">
        <v>72556</v>
      </c>
      <c r="C232" s="89" t="s">
        <v>269</v>
      </c>
      <c r="D232" s="90" t="s">
        <v>19</v>
      </c>
      <c r="E232" s="91">
        <v>6</v>
      </c>
      <c r="F232" s="11">
        <f>VLOOKUP(A232,'[1]CORREÇÃO DOS ITENS DIVERGENTES'!$A$13:$G$490,7)</f>
        <v>11.938626302372557</v>
      </c>
      <c r="G232" s="91">
        <f t="shared" si="146"/>
        <v>14.923282877965695</v>
      </c>
      <c r="H232" s="12">
        <f t="shared" si="147"/>
        <v>89.539697267794168</v>
      </c>
      <c r="I232" s="22">
        <v>6</v>
      </c>
      <c r="J232" s="11">
        <f t="shared" si="140"/>
        <v>11.938626302372557</v>
      </c>
      <c r="K232" s="10">
        <f t="shared" si="141"/>
        <v>15.203840596071451</v>
      </c>
      <c r="L232" s="12">
        <f t="shared" si="144"/>
        <v>91.223043576428708</v>
      </c>
      <c r="M232" s="11">
        <v>0</v>
      </c>
      <c r="N232" s="11">
        <f t="shared" si="142"/>
        <v>11.938626302372557</v>
      </c>
      <c r="O232" s="10">
        <f t="shared" si="143"/>
        <v>15.203840596071451</v>
      </c>
      <c r="P232" s="12">
        <f t="shared" si="137"/>
        <v>0</v>
      </c>
      <c r="Q232" s="148"/>
      <c r="R232" s="74"/>
      <c r="S232" s="14">
        <f>F232-'[1]CORREÇÃO DOS ITENS DIVERGENTES'!$P220</f>
        <v>0</v>
      </c>
      <c r="T232" s="12">
        <f t="shared" si="145"/>
        <v>89.539697267794168</v>
      </c>
    </row>
    <row r="233" spans="1:20" hidden="1">
      <c r="A233" s="118">
        <v>20013000</v>
      </c>
      <c r="B233" s="89">
        <v>72560</v>
      </c>
      <c r="C233" s="89" t="s">
        <v>270</v>
      </c>
      <c r="D233" s="90" t="s">
        <v>19</v>
      </c>
      <c r="E233" s="91">
        <v>8</v>
      </c>
      <c r="F233" s="11">
        <f>VLOOKUP(A233,'[1]CORREÇÃO DOS ITENS DIVERGENTES'!$A$13:$G$490,7)</f>
        <v>5.6322642659781375</v>
      </c>
      <c r="G233" s="91">
        <f t="shared" si="146"/>
        <v>7.0403303324726716</v>
      </c>
      <c r="H233" s="12">
        <f t="shared" si="147"/>
        <v>56.322642659781373</v>
      </c>
      <c r="I233" s="22">
        <v>8</v>
      </c>
      <c r="J233" s="11">
        <f t="shared" si="140"/>
        <v>5.6322642659781375</v>
      </c>
      <c r="K233" s="10">
        <f t="shared" si="141"/>
        <v>7.1726885427231588</v>
      </c>
      <c r="L233" s="12">
        <f t="shared" si="144"/>
        <v>57.38150834178527</v>
      </c>
      <c r="M233" s="11">
        <v>0</v>
      </c>
      <c r="N233" s="11">
        <f t="shared" si="142"/>
        <v>5.6322642659781375</v>
      </c>
      <c r="O233" s="10">
        <f t="shared" si="143"/>
        <v>7.1726885427231588</v>
      </c>
      <c r="P233" s="12">
        <f t="shared" si="137"/>
        <v>0</v>
      </c>
      <c r="Q233" s="148"/>
      <c r="R233" s="74"/>
      <c r="S233" s="14">
        <f>F233-'[1]CORREÇÃO DOS ITENS DIVERGENTES'!$P221</f>
        <v>0</v>
      </c>
      <c r="T233" s="12">
        <f t="shared" si="145"/>
        <v>56.322642659781373</v>
      </c>
    </row>
    <row r="234" spans="1:20" hidden="1">
      <c r="A234" s="118">
        <v>20014000</v>
      </c>
      <c r="B234" s="89">
        <v>72603</v>
      </c>
      <c r="C234" s="89" t="s">
        <v>271</v>
      </c>
      <c r="D234" s="90" t="s">
        <v>19</v>
      </c>
      <c r="E234" s="91">
        <v>2</v>
      </c>
      <c r="F234" s="11">
        <f>VLOOKUP(A234,'[1]CORREÇÃO DOS ITENS DIVERGENTES'!$A$13:$G$490,7)</f>
        <v>18.493340148920343</v>
      </c>
      <c r="G234" s="91">
        <f t="shared" si="146"/>
        <v>23.116675186150427</v>
      </c>
      <c r="H234" s="12">
        <f t="shared" si="147"/>
        <v>46.233350372300855</v>
      </c>
      <c r="I234" s="22">
        <v>2</v>
      </c>
      <c r="J234" s="11">
        <f t="shared" si="140"/>
        <v>18.493340148920343</v>
      </c>
      <c r="K234" s="10">
        <f t="shared" si="141"/>
        <v>23.551268679650057</v>
      </c>
      <c r="L234" s="12">
        <f t="shared" si="144"/>
        <v>47.102537359300115</v>
      </c>
      <c r="M234" s="11">
        <v>0</v>
      </c>
      <c r="N234" s="11">
        <f t="shared" si="142"/>
        <v>18.493340148920343</v>
      </c>
      <c r="O234" s="10">
        <f t="shared" si="143"/>
        <v>23.551268679650057</v>
      </c>
      <c r="P234" s="12">
        <f t="shared" si="137"/>
        <v>0</v>
      </c>
      <c r="Q234" s="148"/>
      <c r="R234" s="74"/>
      <c r="S234" s="14">
        <f>F234-'[1]CORREÇÃO DOS ITENS DIVERGENTES'!$P222</f>
        <v>0</v>
      </c>
      <c r="T234" s="12">
        <f t="shared" si="145"/>
        <v>46.233350372300855</v>
      </c>
    </row>
    <row r="235" spans="1:20" hidden="1">
      <c r="A235" s="118">
        <v>20015000</v>
      </c>
      <c r="B235" s="89">
        <v>72604</v>
      </c>
      <c r="C235" s="89" t="s">
        <v>272</v>
      </c>
      <c r="D235" s="90" t="s">
        <v>19</v>
      </c>
      <c r="E235" s="91">
        <v>1</v>
      </c>
      <c r="F235" s="11">
        <f>VLOOKUP(A235,'[1]CORREÇÃO DOS ITENS DIVERGENTES'!$A$13:$G$490,7)</f>
        <v>8.0004761699405975</v>
      </c>
      <c r="G235" s="91">
        <f t="shared" si="146"/>
        <v>10.000595212425747</v>
      </c>
      <c r="H235" s="12">
        <f t="shared" si="147"/>
        <v>10.000595212425747</v>
      </c>
      <c r="I235" s="22">
        <v>1</v>
      </c>
      <c r="J235" s="11">
        <f t="shared" si="140"/>
        <v>8.0004761699405975</v>
      </c>
      <c r="K235" s="10">
        <f t="shared" si="141"/>
        <v>10.188606402419351</v>
      </c>
      <c r="L235" s="12">
        <f t="shared" si="144"/>
        <v>10.188606402419351</v>
      </c>
      <c r="M235" s="11">
        <v>0</v>
      </c>
      <c r="N235" s="11">
        <f t="shared" si="142"/>
        <v>8.0004761699405975</v>
      </c>
      <c r="O235" s="10">
        <f t="shared" si="143"/>
        <v>10.188606402419351</v>
      </c>
      <c r="P235" s="12">
        <f t="shared" si="137"/>
        <v>0</v>
      </c>
      <c r="Q235" s="148"/>
      <c r="R235" s="74"/>
      <c r="S235" s="14">
        <f>F235-'[1]CORREÇÃO DOS ITENS DIVERGENTES'!$P223</f>
        <v>0</v>
      </c>
      <c r="T235" s="12">
        <f t="shared" si="145"/>
        <v>10.000595212425747</v>
      </c>
    </row>
    <row r="236" spans="1:20" hidden="1">
      <c r="A236" s="118">
        <v>20016000</v>
      </c>
      <c r="B236" s="89">
        <v>72774</v>
      </c>
      <c r="C236" s="89" t="s">
        <v>273</v>
      </c>
      <c r="D236" s="90" t="s">
        <v>19</v>
      </c>
      <c r="E236" s="91">
        <v>6</v>
      </c>
      <c r="F236" s="11">
        <f>VLOOKUP(A236,'[1]CORREÇÃO DOS ITENS DIVERGENTES'!$A$13:$G$490,7)</f>
        <v>17.083056655549438</v>
      </c>
      <c r="G236" s="91">
        <f t="shared" si="146"/>
        <v>21.353820819436798</v>
      </c>
      <c r="H236" s="12">
        <f t="shared" si="147"/>
        <v>128.12292491662078</v>
      </c>
      <c r="I236" s="22">
        <v>6</v>
      </c>
      <c r="J236" s="11">
        <f t="shared" si="140"/>
        <v>17.083056655549438</v>
      </c>
      <c r="K236" s="10">
        <f t="shared" si="141"/>
        <v>21.755272650842212</v>
      </c>
      <c r="L236" s="12">
        <f t="shared" si="144"/>
        <v>130.53163590505326</v>
      </c>
      <c r="M236" s="11">
        <v>0</v>
      </c>
      <c r="N236" s="11">
        <f t="shared" si="142"/>
        <v>17.083056655549438</v>
      </c>
      <c r="O236" s="10">
        <f t="shared" si="143"/>
        <v>21.755272650842212</v>
      </c>
      <c r="P236" s="12">
        <f t="shared" si="137"/>
        <v>0</v>
      </c>
      <c r="Q236" s="148"/>
      <c r="R236" s="74"/>
      <c r="S236" s="14">
        <f>F236-'[1]CORREÇÃO DOS ITENS DIVERGENTES'!$P224</f>
        <v>0</v>
      </c>
      <c r="T236" s="12">
        <f t="shared" si="145"/>
        <v>128.12292491662078</v>
      </c>
    </row>
    <row r="237" spans="1:20" ht="22.5" hidden="1">
      <c r="A237" s="118">
        <v>20017000</v>
      </c>
      <c r="B237" s="89" t="s">
        <v>274</v>
      </c>
      <c r="C237" s="89" t="s">
        <v>275</v>
      </c>
      <c r="D237" s="90" t="s">
        <v>102</v>
      </c>
      <c r="E237" s="91">
        <f>7.57+6.51</f>
        <v>14.08</v>
      </c>
      <c r="F237" s="11">
        <f>VLOOKUP(A237,'[1]CORREÇÃO DOS ITENS DIVERGENTES'!$A$13:$G$490,7)</f>
        <v>5.4105215783412026</v>
      </c>
      <c r="G237" s="91">
        <f t="shared" si="146"/>
        <v>6.7631519729265035</v>
      </c>
      <c r="H237" s="12">
        <f t="shared" si="147"/>
        <v>95.22517977880517</v>
      </c>
      <c r="I237" s="22">
        <f>7.57+6.51</f>
        <v>14.08</v>
      </c>
      <c r="J237" s="11">
        <f t="shared" si="140"/>
        <v>5.4105215783412026</v>
      </c>
      <c r="K237" s="10">
        <f t="shared" si="141"/>
        <v>6.8902992300175221</v>
      </c>
      <c r="L237" s="12">
        <f t="shared" si="144"/>
        <v>97.015413158646709</v>
      </c>
      <c r="M237" s="11">
        <v>0</v>
      </c>
      <c r="N237" s="11">
        <f t="shared" si="142"/>
        <v>5.4105215783412026</v>
      </c>
      <c r="O237" s="10">
        <f t="shared" si="143"/>
        <v>6.8902992300175221</v>
      </c>
      <c r="P237" s="12">
        <f t="shared" si="137"/>
        <v>0</v>
      </c>
      <c r="Q237" s="148"/>
      <c r="R237" s="74"/>
      <c r="S237" s="14">
        <f>F237-'[1]CORREÇÃO DOS ITENS DIVERGENTES'!$P225</f>
        <v>0</v>
      </c>
      <c r="T237" s="12">
        <f t="shared" si="145"/>
        <v>95.22517977880517</v>
      </c>
    </row>
    <row r="238" spans="1:20" ht="22.5" hidden="1">
      <c r="A238" s="118">
        <v>20018000</v>
      </c>
      <c r="B238" s="89" t="s">
        <v>254</v>
      </c>
      <c r="C238" s="89" t="s">
        <v>255</v>
      </c>
      <c r="D238" s="90" t="s">
        <v>102</v>
      </c>
      <c r="E238" s="91">
        <f>6.66+0.58</f>
        <v>7.24</v>
      </c>
      <c r="F238" s="11">
        <f>VLOOKUP(A238,'[1]CORREÇÃO DOS ITENS DIVERGENTES'!$A$13:$G$490,7)</f>
        <v>8.3641341776651714</v>
      </c>
      <c r="G238" s="91">
        <f t="shared" si="146"/>
        <v>10.455167722081464</v>
      </c>
      <c r="H238" s="12">
        <f t="shared" si="147"/>
        <v>75.695414307869797</v>
      </c>
      <c r="I238" s="22">
        <f>6.66+0.58</f>
        <v>7.24</v>
      </c>
      <c r="J238" s="11">
        <f t="shared" si="140"/>
        <v>8.3641341776651714</v>
      </c>
      <c r="K238" s="10">
        <f t="shared" si="141"/>
        <v>10.651724875256596</v>
      </c>
      <c r="L238" s="12">
        <f t="shared" si="144"/>
        <v>77.11848809685776</v>
      </c>
      <c r="M238" s="11">
        <v>0</v>
      </c>
      <c r="N238" s="11">
        <f t="shared" si="142"/>
        <v>8.3641341776651714</v>
      </c>
      <c r="O238" s="10">
        <f t="shared" si="143"/>
        <v>10.651724875256596</v>
      </c>
      <c r="P238" s="12">
        <f t="shared" si="137"/>
        <v>0</v>
      </c>
      <c r="Q238" s="148"/>
      <c r="R238" s="74"/>
      <c r="S238" s="14">
        <f>F238-'[1]CORREÇÃO DOS ITENS DIVERGENTES'!$P226</f>
        <v>0</v>
      </c>
      <c r="T238" s="12">
        <f t="shared" si="145"/>
        <v>75.695414307869797</v>
      </c>
    </row>
    <row r="239" spans="1:20" hidden="1">
      <c r="A239" s="118">
        <v>20019000</v>
      </c>
      <c r="B239" s="89" t="s">
        <v>276</v>
      </c>
      <c r="C239" s="89" t="s">
        <v>277</v>
      </c>
      <c r="D239" s="90" t="s">
        <v>102</v>
      </c>
      <c r="E239" s="91">
        <f>147+42.6</f>
        <v>189.6</v>
      </c>
      <c r="F239" s="11">
        <f>VLOOKUP(A239,'[1]CORREÇÃO DOS ITENS DIVERGENTES'!$A$13:$G$490,7)</f>
        <v>12.594984657777882</v>
      </c>
      <c r="G239" s="91">
        <f t="shared" si="146"/>
        <v>15.743730822222354</v>
      </c>
      <c r="H239" s="12">
        <f t="shared" si="147"/>
        <v>2985.0113638933581</v>
      </c>
      <c r="I239" s="22">
        <f>147+42.6</f>
        <v>189.6</v>
      </c>
      <c r="J239" s="11">
        <f t="shared" si="140"/>
        <v>12.594984657777882</v>
      </c>
      <c r="K239" s="10">
        <f t="shared" si="141"/>
        <v>16.039712961680134</v>
      </c>
      <c r="L239" s="12">
        <f t="shared" si="144"/>
        <v>3041.1295775345534</v>
      </c>
      <c r="M239" s="11">
        <v>0</v>
      </c>
      <c r="N239" s="11">
        <f t="shared" si="142"/>
        <v>12.594984657777882</v>
      </c>
      <c r="O239" s="10">
        <f t="shared" si="143"/>
        <v>16.039712961680134</v>
      </c>
      <c r="P239" s="12">
        <f t="shared" si="137"/>
        <v>0</v>
      </c>
      <c r="Q239" s="148"/>
      <c r="R239" s="74"/>
      <c r="S239" s="14">
        <f>F239-'[1]CORREÇÃO DOS ITENS DIVERGENTES'!$P227</f>
        <v>0</v>
      </c>
      <c r="T239" s="12">
        <f t="shared" si="145"/>
        <v>2985.0113638933581</v>
      </c>
    </row>
    <row r="240" spans="1:20" ht="22.5" hidden="1">
      <c r="A240" s="118">
        <v>20020000</v>
      </c>
      <c r="B240" s="89" t="s">
        <v>278</v>
      </c>
      <c r="C240" s="89" t="s">
        <v>279</v>
      </c>
      <c r="D240" s="90" t="s">
        <v>19</v>
      </c>
      <c r="E240" s="91">
        <v>12</v>
      </c>
      <c r="F240" s="11">
        <f>VLOOKUP(A240,'[1]CORREÇÃO DOS ITENS DIVERGENTES'!$A$13:$G$490,7)</f>
        <v>109.89567599286477</v>
      </c>
      <c r="G240" s="91">
        <f t="shared" si="146"/>
        <v>137.36959499108096</v>
      </c>
      <c r="H240" s="12">
        <f t="shared" si="147"/>
        <v>1648.4351398929716</v>
      </c>
      <c r="I240" s="22">
        <v>12</v>
      </c>
      <c r="J240" s="11">
        <f t="shared" si="140"/>
        <v>109.89567599286477</v>
      </c>
      <c r="K240" s="10">
        <f t="shared" si="141"/>
        <v>139.95214337691328</v>
      </c>
      <c r="L240" s="12">
        <f t="shared" si="144"/>
        <v>1679.4257205229594</v>
      </c>
      <c r="M240" s="11">
        <v>6</v>
      </c>
      <c r="N240" s="11">
        <f t="shared" si="142"/>
        <v>109.89567599286477</v>
      </c>
      <c r="O240" s="10">
        <f t="shared" si="143"/>
        <v>139.95214337691328</v>
      </c>
      <c r="P240" s="12">
        <f t="shared" si="137"/>
        <v>839.7128602614797</v>
      </c>
      <c r="Q240" s="148"/>
      <c r="R240" s="74"/>
      <c r="S240" s="14">
        <f>F240-'[1]CORREÇÃO DOS ITENS DIVERGENTES'!$P228</f>
        <v>0</v>
      </c>
      <c r="T240" s="12">
        <f t="shared" si="145"/>
        <v>1648.4351398929716</v>
      </c>
    </row>
    <row r="241" spans="1:27" hidden="1">
      <c r="A241" s="118">
        <v>20021000</v>
      </c>
      <c r="B241" s="89" t="s">
        <v>280</v>
      </c>
      <c r="C241" s="89" t="s">
        <v>281</v>
      </c>
      <c r="D241" s="90" t="s">
        <v>19</v>
      </c>
      <c r="E241" s="91">
        <v>1</v>
      </c>
      <c r="F241" s="11">
        <f>VLOOKUP(A241,'[1]CORREÇÃO DOS ITENS DIVERGENTES'!$A$13:$G$490,7)</f>
        <v>32.330083857465063</v>
      </c>
      <c r="G241" s="91">
        <f t="shared" si="146"/>
        <v>40.41260482183133</v>
      </c>
      <c r="H241" s="12">
        <f t="shared" si="147"/>
        <v>40.41260482183133</v>
      </c>
      <c r="I241" s="22">
        <v>1</v>
      </c>
      <c r="J241" s="11">
        <f t="shared" si="140"/>
        <v>32.330083857465063</v>
      </c>
      <c r="K241" s="10">
        <f t="shared" si="141"/>
        <v>41.172361792481759</v>
      </c>
      <c r="L241" s="12">
        <f t="shared" si="144"/>
        <v>41.172361792481759</v>
      </c>
      <c r="M241" s="11">
        <v>0</v>
      </c>
      <c r="N241" s="11">
        <f t="shared" si="142"/>
        <v>32.330083857465063</v>
      </c>
      <c r="O241" s="10">
        <f t="shared" si="143"/>
        <v>41.172361792481759</v>
      </c>
      <c r="P241" s="12">
        <f t="shared" si="137"/>
        <v>0</v>
      </c>
      <c r="Q241" s="148"/>
      <c r="R241" s="74"/>
      <c r="S241" s="14">
        <f>F241-'[1]CORREÇÃO DOS ITENS DIVERGENTES'!$P229</f>
        <v>0</v>
      </c>
      <c r="T241" s="12">
        <f t="shared" si="145"/>
        <v>40.41260482183133</v>
      </c>
    </row>
    <row r="242" spans="1:27" hidden="1">
      <c r="A242" s="118">
        <v>20022000</v>
      </c>
      <c r="B242" s="89" t="s">
        <v>282</v>
      </c>
      <c r="C242" s="89" t="s">
        <v>283</v>
      </c>
      <c r="D242" s="90" t="s">
        <v>19</v>
      </c>
      <c r="E242" s="91">
        <v>9</v>
      </c>
      <c r="F242" s="11">
        <f>VLOOKUP(A242,'[1]CORREÇÃO DOS ITENS DIVERGENTES'!$A$13:$G$490,7)</f>
        <v>5.6766128035055248</v>
      </c>
      <c r="G242" s="91">
        <f t="shared" si="146"/>
        <v>7.0957660043819057</v>
      </c>
      <c r="H242" s="12">
        <f t="shared" si="147"/>
        <v>63.861894039437153</v>
      </c>
      <c r="I242" s="22">
        <v>9</v>
      </c>
      <c r="J242" s="11">
        <f t="shared" si="140"/>
        <v>5.6766128035055248</v>
      </c>
      <c r="K242" s="10">
        <f t="shared" si="141"/>
        <v>7.2291664052642863</v>
      </c>
      <c r="L242" s="12">
        <f t="shared" si="144"/>
        <v>65.062497647378578</v>
      </c>
      <c r="M242" s="11">
        <v>0</v>
      </c>
      <c r="N242" s="11">
        <f t="shared" si="142"/>
        <v>5.6766128035055248</v>
      </c>
      <c r="O242" s="10">
        <f t="shared" si="143"/>
        <v>7.2291664052642863</v>
      </c>
      <c r="P242" s="12">
        <f t="shared" si="137"/>
        <v>0</v>
      </c>
      <c r="Q242" s="148"/>
      <c r="R242" s="74"/>
      <c r="S242" s="14">
        <f>F242-'[1]CORREÇÃO DOS ITENS DIVERGENTES'!$P230</f>
        <v>0</v>
      </c>
      <c r="T242" s="12">
        <f t="shared" si="145"/>
        <v>63.861894039437153</v>
      </c>
    </row>
    <row r="243" spans="1:27" ht="45" hidden="1">
      <c r="A243" s="118">
        <v>20023000</v>
      </c>
      <c r="B243" s="89" t="s">
        <v>284</v>
      </c>
      <c r="C243" s="89" t="s">
        <v>285</v>
      </c>
      <c r="D243" s="90" t="s">
        <v>19</v>
      </c>
      <c r="E243" s="91">
        <v>4</v>
      </c>
      <c r="F243" s="11">
        <f>VLOOKUP(A243,'[1]CORREÇÃO DOS ITENS DIVERGENTES'!$A$13:$G$490,7)</f>
        <v>89.35343341017915</v>
      </c>
      <c r="G243" s="91">
        <f t="shared" si="146"/>
        <v>111.69179176272394</v>
      </c>
      <c r="H243" s="12">
        <f t="shared" si="147"/>
        <v>446.76716705089575</v>
      </c>
      <c r="I243" s="22">
        <v>4</v>
      </c>
      <c r="J243" s="11">
        <f t="shared" si="140"/>
        <v>89.35343341017915</v>
      </c>
      <c r="K243" s="10">
        <f t="shared" si="141"/>
        <v>113.79159744786315</v>
      </c>
      <c r="L243" s="12">
        <f t="shared" si="144"/>
        <v>455.16638979145262</v>
      </c>
      <c r="M243" s="11">
        <v>0</v>
      </c>
      <c r="N243" s="11">
        <f t="shared" si="142"/>
        <v>89.35343341017915</v>
      </c>
      <c r="O243" s="10">
        <f t="shared" si="143"/>
        <v>113.79159744786315</v>
      </c>
      <c r="P243" s="12">
        <f t="shared" si="137"/>
        <v>0</v>
      </c>
      <c r="Q243" s="148"/>
      <c r="R243" s="74"/>
      <c r="S243" s="14">
        <f>F243-'[1]CORREÇÃO DOS ITENS DIVERGENTES'!$P231</f>
        <v>0</v>
      </c>
      <c r="T243" s="12">
        <f t="shared" si="145"/>
        <v>446.76716705089575</v>
      </c>
    </row>
    <row r="244" spans="1:27" ht="45" hidden="1">
      <c r="A244" s="118">
        <v>20024000</v>
      </c>
      <c r="B244" s="89" t="s">
        <v>286</v>
      </c>
      <c r="C244" s="89" t="s">
        <v>287</v>
      </c>
      <c r="D244" s="90" t="s">
        <v>19</v>
      </c>
      <c r="E244" s="91">
        <v>2</v>
      </c>
      <c r="F244" s="11">
        <f>VLOOKUP(A244,'[1]CORREÇÃO DOS ITENS DIVERGENTES'!$A$13:$G$490,7)</f>
        <v>82.95837429872995</v>
      </c>
      <c r="G244" s="91">
        <f t="shared" si="146"/>
        <v>103.69796787341244</v>
      </c>
      <c r="H244" s="12">
        <f t="shared" si="147"/>
        <v>207.39593574682488</v>
      </c>
      <c r="I244" s="22">
        <v>2</v>
      </c>
      <c r="J244" s="11">
        <f t="shared" si="140"/>
        <v>82.95837429872995</v>
      </c>
      <c r="K244" s="10">
        <f t="shared" si="141"/>
        <v>105.6474896694326</v>
      </c>
      <c r="L244" s="12">
        <f t="shared" si="144"/>
        <v>211.2949793388652</v>
      </c>
      <c r="M244" s="11">
        <v>6</v>
      </c>
      <c r="N244" s="11">
        <f t="shared" si="142"/>
        <v>82.95837429872995</v>
      </c>
      <c r="O244" s="10">
        <f t="shared" si="143"/>
        <v>105.6474896694326</v>
      </c>
      <c r="P244" s="12">
        <f t="shared" si="137"/>
        <v>633.88493801659558</v>
      </c>
      <c r="Q244" s="148"/>
      <c r="R244" s="74"/>
      <c r="S244" s="14">
        <f>F244-'[1]CORREÇÃO DOS ITENS DIVERGENTES'!$P232</f>
        <v>0</v>
      </c>
      <c r="T244" s="12">
        <f t="shared" si="145"/>
        <v>207.39593574682488</v>
      </c>
    </row>
    <row r="245" spans="1:27" hidden="1">
      <c r="A245" s="118">
        <v>20025000</v>
      </c>
      <c r="B245" s="89">
        <v>72559</v>
      </c>
      <c r="C245" s="89" t="s">
        <v>288</v>
      </c>
      <c r="D245" s="90" t="s">
        <v>19</v>
      </c>
      <c r="E245" s="91">
        <v>2</v>
      </c>
      <c r="F245" s="11">
        <f>VLOOKUP(A245,'[1]CORREÇÃO DOS ITENS DIVERGENTES'!$A$13:$G$490,7)</f>
        <v>4.869469420507083</v>
      </c>
      <c r="G245" s="91">
        <f t="shared" si="146"/>
        <v>6.0868367756338539</v>
      </c>
      <c r="H245" s="12">
        <f t="shared" si="147"/>
        <v>12.173673551267708</v>
      </c>
      <c r="I245" s="22">
        <v>2</v>
      </c>
      <c r="J245" s="11">
        <f t="shared" si="140"/>
        <v>4.869469420507083</v>
      </c>
      <c r="K245" s="10">
        <f t="shared" si="141"/>
        <v>6.2012693070157709</v>
      </c>
      <c r="L245" s="12">
        <f t="shared" si="144"/>
        <v>12.402538614031542</v>
      </c>
      <c r="M245" s="11">
        <v>0</v>
      </c>
      <c r="N245" s="11">
        <f t="shared" si="142"/>
        <v>4.869469420507083</v>
      </c>
      <c r="O245" s="10">
        <f t="shared" si="143"/>
        <v>6.2012693070157709</v>
      </c>
      <c r="P245" s="12">
        <f t="shared" si="137"/>
        <v>0</v>
      </c>
      <c r="Q245" s="148"/>
      <c r="R245" s="74"/>
      <c r="S245" s="14">
        <f>F245-'[1]CORREÇÃO DOS ITENS DIVERGENTES'!$P233</f>
        <v>0</v>
      </c>
      <c r="T245" s="12">
        <f t="shared" si="145"/>
        <v>12.173673551267708</v>
      </c>
    </row>
    <row r="246" spans="1:27" s="8" customFormat="1" ht="14.25" hidden="1" customHeight="1">
      <c r="A246" s="117">
        <v>21000000</v>
      </c>
      <c r="B246" s="98"/>
      <c r="C246" s="187" t="s">
        <v>289</v>
      </c>
      <c r="D246" s="187"/>
      <c r="E246" s="187"/>
      <c r="F246" s="187"/>
      <c r="G246" s="91">
        <f t="shared" si="146"/>
        <v>0</v>
      </c>
      <c r="H246" s="87">
        <f>SUM(H247:H254)</f>
        <v>2080.852228913443</v>
      </c>
      <c r="I246" s="159"/>
      <c r="J246" s="159"/>
      <c r="K246" s="27"/>
      <c r="L246" s="26">
        <f>SUM(L247:L254)</f>
        <v>2119.9722508170157</v>
      </c>
      <c r="M246" s="159"/>
      <c r="N246" s="159"/>
      <c r="O246" s="27"/>
      <c r="P246" s="26">
        <f>SUM(P247:P254)</f>
        <v>0</v>
      </c>
      <c r="Q246" s="160">
        <f t="shared" ref="Q246:Q289" si="148">L246+P246</f>
        <v>2119.9722508170157</v>
      </c>
      <c r="R246" s="159"/>
      <c r="S246" s="159"/>
      <c r="T246" s="12">
        <f t="shared" si="145"/>
        <v>0</v>
      </c>
    </row>
    <row r="247" spans="1:27" hidden="1">
      <c r="A247" s="118">
        <v>21001000</v>
      </c>
      <c r="B247" s="89">
        <v>72463</v>
      </c>
      <c r="C247" s="89" t="s">
        <v>290</v>
      </c>
      <c r="D247" s="90" t="s">
        <v>19</v>
      </c>
      <c r="E247" s="91">
        <v>1</v>
      </c>
      <c r="F247" s="11">
        <f>VLOOKUP(A247,'[1]CORREÇÃO DOS ITENS DIVERGENTES'!$A$13:$G$490,7)</f>
        <v>8.1601309050391908</v>
      </c>
      <c r="G247" s="91">
        <f t="shared" si="146"/>
        <v>10.200163631298988</v>
      </c>
      <c r="H247" s="12">
        <f t="shared" ref="H247:H254" si="149">E247*G247</f>
        <v>10.200163631298988</v>
      </c>
      <c r="I247" s="22">
        <v>1</v>
      </c>
      <c r="J247" s="11">
        <f t="shared" ref="J247:J254" si="150">F247</f>
        <v>8.1601309050391908</v>
      </c>
      <c r="K247" s="10">
        <f t="shared" ref="K247:K254" si="151">J247*1.2735</f>
        <v>10.391926707567411</v>
      </c>
      <c r="L247" s="12">
        <f>I247*K247</f>
        <v>10.391926707567411</v>
      </c>
      <c r="M247" s="11">
        <v>0</v>
      </c>
      <c r="N247" s="11">
        <f t="shared" ref="N247:N254" si="152">J247</f>
        <v>8.1601309050391908</v>
      </c>
      <c r="O247" s="10">
        <f t="shared" ref="O247:O254" si="153">N247*1.2735</f>
        <v>10.391926707567411</v>
      </c>
      <c r="P247" s="12">
        <f t="shared" si="137"/>
        <v>0</v>
      </c>
      <c r="Q247" s="148"/>
      <c r="R247" s="74"/>
      <c r="S247" s="14">
        <f>F247-'[1]CORREÇÃO DOS ITENS DIVERGENTES'!$P235</f>
        <v>0</v>
      </c>
      <c r="T247" s="12">
        <f t="shared" si="145"/>
        <v>10.200163631298988</v>
      </c>
    </row>
    <row r="248" spans="1:27" hidden="1">
      <c r="A248" s="118">
        <v>21002000</v>
      </c>
      <c r="B248" s="89">
        <v>72544</v>
      </c>
      <c r="C248" s="89" t="s">
        <v>265</v>
      </c>
      <c r="D248" s="90" t="s">
        <v>19</v>
      </c>
      <c r="E248" s="91">
        <v>4</v>
      </c>
      <c r="F248" s="11">
        <f>VLOOKUP(A248,'[1]CORREÇÃO DOS ITENS DIVERGENTES'!$A$13:$G$490,7)</f>
        <v>7.8319517273365289</v>
      </c>
      <c r="G248" s="91">
        <f t="shared" si="146"/>
        <v>9.7899396591706616</v>
      </c>
      <c r="H248" s="12">
        <f t="shared" si="149"/>
        <v>39.159758636682646</v>
      </c>
      <c r="I248" s="22">
        <v>4</v>
      </c>
      <c r="J248" s="11">
        <f t="shared" si="150"/>
        <v>7.8319517273365289</v>
      </c>
      <c r="K248" s="10">
        <f t="shared" si="151"/>
        <v>9.9739905247630709</v>
      </c>
      <c r="L248" s="12">
        <f t="shared" ref="L248:L254" si="154">I248*K248</f>
        <v>39.895962099052284</v>
      </c>
      <c r="M248" s="11">
        <v>0</v>
      </c>
      <c r="N248" s="11">
        <f t="shared" si="152"/>
        <v>7.8319517273365289</v>
      </c>
      <c r="O248" s="10">
        <f t="shared" si="153"/>
        <v>9.9739905247630709</v>
      </c>
      <c r="P248" s="12">
        <f t="shared" si="137"/>
        <v>0</v>
      </c>
      <c r="Q248" s="148"/>
      <c r="R248" s="74"/>
      <c r="S248" s="14">
        <f>F248-'[1]CORREÇÃO DOS ITENS DIVERGENTES'!$P236</f>
        <v>0</v>
      </c>
      <c r="T248" s="12">
        <f t="shared" si="145"/>
        <v>39.159758636682646</v>
      </c>
    </row>
    <row r="249" spans="1:27" hidden="1">
      <c r="A249" s="118">
        <v>21003000</v>
      </c>
      <c r="B249" s="89">
        <v>72545</v>
      </c>
      <c r="C249" s="89" t="s">
        <v>266</v>
      </c>
      <c r="D249" s="90" t="s">
        <v>19</v>
      </c>
      <c r="E249" s="91">
        <v>1</v>
      </c>
      <c r="F249" s="11">
        <f>VLOOKUP(A249,'[1]CORREÇÃO DOS ITENS DIVERGENTES'!$A$13:$G$490,7)</f>
        <v>6.5901926765696945</v>
      </c>
      <c r="G249" s="91">
        <f t="shared" si="146"/>
        <v>8.2377408457121177</v>
      </c>
      <c r="H249" s="12">
        <f t="shared" si="149"/>
        <v>8.2377408457121177</v>
      </c>
      <c r="I249" s="22">
        <v>1</v>
      </c>
      <c r="J249" s="11">
        <f t="shared" si="150"/>
        <v>6.5901926765696945</v>
      </c>
      <c r="K249" s="10">
        <f t="shared" si="151"/>
        <v>8.3926103736115056</v>
      </c>
      <c r="L249" s="12">
        <f t="shared" si="154"/>
        <v>8.3926103736115056</v>
      </c>
      <c r="M249" s="11">
        <v>0</v>
      </c>
      <c r="N249" s="11">
        <f t="shared" si="152"/>
        <v>6.5901926765696945</v>
      </c>
      <c r="O249" s="10">
        <f t="shared" si="153"/>
        <v>8.3926103736115056</v>
      </c>
      <c r="P249" s="12">
        <f t="shared" si="137"/>
        <v>0</v>
      </c>
      <c r="Q249" s="148"/>
      <c r="R249" s="74"/>
      <c r="S249" s="14">
        <f>F249-'[1]CORREÇÃO DOS ITENS DIVERGENTES'!$P237</f>
        <v>0</v>
      </c>
      <c r="T249" s="12">
        <f t="shared" si="145"/>
        <v>8.2377408457121177</v>
      </c>
    </row>
    <row r="250" spans="1:27" hidden="1">
      <c r="A250" s="118">
        <v>21004000</v>
      </c>
      <c r="B250" s="89">
        <v>72560</v>
      </c>
      <c r="C250" s="89" t="s">
        <v>270</v>
      </c>
      <c r="D250" s="90" t="s">
        <v>19</v>
      </c>
      <c r="E250" s="91">
        <v>1</v>
      </c>
      <c r="F250" s="11">
        <f>VLOOKUP(A250,'[1]CORREÇÃO DOS ITENS DIVERGENTES'!$A$13:$G$490,7)</f>
        <v>5.6322642659781375</v>
      </c>
      <c r="G250" s="91">
        <f t="shared" si="146"/>
        <v>7.0403303324726716</v>
      </c>
      <c r="H250" s="12">
        <f t="shared" si="149"/>
        <v>7.0403303324726716</v>
      </c>
      <c r="I250" s="22">
        <v>1</v>
      </c>
      <c r="J250" s="11">
        <f t="shared" si="150"/>
        <v>5.6322642659781375</v>
      </c>
      <c r="K250" s="10">
        <f t="shared" si="151"/>
        <v>7.1726885427231588</v>
      </c>
      <c r="L250" s="12">
        <f t="shared" si="154"/>
        <v>7.1726885427231588</v>
      </c>
      <c r="M250" s="11">
        <v>0</v>
      </c>
      <c r="N250" s="11">
        <f t="shared" si="152"/>
        <v>5.6322642659781375</v>
      </c>
      <c r="O250" s="10">
        <f t="shared" si="153"/>
        <v>7.1726885427231588</v>
      </c>
      <c r="P250" s="12">
        <f t="shared" si="137"/>
        <v>0</v>
      </c>
      <c r="Q250" s="148"/>
      <c r="R250" s="74"/>
      <c r="S250" s="14">
        <f>F250-'[1]CORREÇÃO DOS ITENS DIVERGENTES'!$P238</f>
        <v>0</v>
      </c>
      <c r="T250" s="12">
        <f t="shared" si="145"/>
        <v>7.0403303324726716</v>
      </c>
    </row>
    <row r="251" spans="1:27" hidden="1">
      <c r="A251" s="118">
        <v>21005000</v>
      </c>
      <c r="B251" s="89">
        <v>72604</v>
      </c>
      <c r="C251" s="89" t="s">
        <v>272</v>
      </c>
      <c r="D251" s="90" t="s">
        <v>19</v>
      </c>
      <c r="E251" s="91">
        <v>1</v>
      </c>
      <c r="F251" s="11">
        <f>VLOOKUP(A251,'[1]CORREÇÃO DOS ITENS DIVERGENTES'!$A$13:$G$490,7)</f>
        <v>8.0004761699405975</v>
      </c>
      <c r="G251" s="91">
        <f t="shared" si="146"/>
        <v>10.000595212425747</v>
      </c>
      <c r="H251" s="12">
        <f t="shared" si="149"/>
        <v>10.000595212425747</v>
      </c>
      <c r="I251" s="22">
        <v>1</v>
      </c>
      <c r="J251" s="11">
        <f t="shared" si="150"/>
        <v>8.0004761699405975</v>
      </c>
      <c r="K251" s="10">
        <f t="shared" si="151"/>
        <v>10.188606402419351</v>
      </c>
      <c r="L251" s="12">
        <f t="shared" si="154"/>
        <v>10.188606402419351</v>
      </c>
      <c r="M251" s="11">
        <v>0</v>
      </c>
      <c r="N251" s="11">
        <f t="shared" si="152"/>
        <v>8.0004761699405975</v>
      </c>
      <c r="O251" s="10">
        <f t="shared" si="153"/>
        <v>10.188606402419351</v>
      </c>
      <c r="P251" s="12">
        <f t="shared" si="137"/>
        <v>0</v>
      </c>
      <c r="Q251" s="148"/>
      <c r="R251" s="74"/>
      <c r="S251" s="14">
        <f>F251-'[1]CORREÇÃO DOS ITENS DIVERGENTES'!$P239</f>
        <v>0</v>
      </c>
      <c r="T251" s="12">
        <f t="shared" si="145"/>
        <v>10.000595212425747</v>
      </c>
    </row>
    <row r="252" spans="1:27" ht="22.5" hidden="1">
      <c r="A252" s="118">
        <v>21006000</v>
      </c>
      <c r="B252" s="89" t="s">
        <v>254</v>
      </c>
      <c r="C252" s="89" t="s">
        <v>255</v>
      </c>
      <c r="D252" s="90" t="s">
        <v>102</v>
      </c>
      <c r="E252" s="91">
        <v>16.899999999999999</v>
      </c>
      <c r="F252" s="11">
        <f>VLOOKUP(A252,'[1]CORREÇÃO DOS ITENS DIVERGENTES'!$A$13:$G$490,7)</f>
        <v>8.3641341776651714</v>
      </c>
      <c r="G252" s="91">
        <f t="shared" si="146"/>
        <v>10.455167722081464</v>
      </c>
      <c r="H252" s="12">
        <f t="shared" si="149"/>
        <v>176.69233450317674</v>
      </c>
      <c r="I252" s="22">
        <v>16.899999999999999</v>
      </c>
      <c r="J252" s="11">
        <f t="shared" si="150"/>
        <v>8.3641341776651714</v>
      </c>
      <c r="K252" s="10">
        <f t="shared" si="151"/>
        <v>10.651724875256596</v>
      </c>
      <c r="L252" s="12">
        <f t="shared" si="154"/>
        <v>180.01415039183647</v>
      </c>
      <c r="M252" s="11">
        <v>0</v>
      </c>
      <c r="N252" s="11">
        <f t="shared" si="152"/>
        <v>8.3641341776651714</v>
      </c>
      <c r="O252" s="10">
        <f t="shared" si="153"/>
        <v>10.651724875256596</v>
      </c>
      <c r="P252" s="12">
        <f t="shared" si="137"/>
        <v>0</v>
      </c>
      <c r="Q252" s="148"/>
      <c r="R252" s="74"/>
      <c r="S252" s="14">
        <f>F252-'[1]CORREÇÃO DOS ITENS DIVERGENTES'!$P240</f>
        <v>0</v>
      </c>
      <c r="T252" s="12">
        <f t="shared" si="145"/>
        <v>176.69233450317674</v>
      </c>
    </row>
    <row r="253" spans="1:27" hidden="1">
      <c r="A253" s="118">
        <v>21007000</v>
      </c>
      <c r="B253" s="89" t="s">
        <v>276</v>
      </c>
      <c r="C253" s="89" t="s">
        <v>277</v>
      </c>
      <c r="D253" s="90" t="s">
        <v>102</v>
      </c>
      <c r="E253" s="91">
        <v>115.25</v>
      </c>
      <c r="F253" s="11">
        <f>VLOOKUP(A253,'[1]CORREÇÃO DOS ITENS DIVERGENTES'!$A$13:$G$490,7)</f>
        <v>12.594984657777882</v>
      </c>
      <c r="G253" s="91">
        <f t="shared" si="146"/>
        <v>15.743730822222354</v>
      </c>
      <c r="H253" s="12">
        <f t="shared" si="149"/>
        <v>1814.4649772611263</v>
      </c>
      <c r="I253" s="22">
        <v>115.25</v>
      </c>
      <c r="J253" s="11">
        <f t="shared" si="150"/>
        <v>12.594984657777882</v>
      </c>
      <c r="K253" s="10">
        <f t="shared" si="151"/>
        <v>16.039712961680134</v>
      </c>
      <c r="L253" s="12">
        <f t="shared" si="154"/>
        <v>1848.5769188336355</v>
      </c>
      <c r="M253" s="11">
        <v>0</v>
      </c>
      <c r="N253" s="11">
        <f t="shared" si="152"/>
        <v>12.594984657777882</v>
      </c>
      <c r="O253" s="10">
        <f t="shared" si="153"/>
        <v>16.039712961680134</v>
      </c>
      <c r="P253" s="12">
        <f t="shared" si="137"/>
        <v>0</v>
      </c>
      <c r="Q253" s="148"/>
      <c r="R253" s="74"/>
      <c r="S253" s="14">
        <f>F253-'[1]CORREÇÃO DOS ITENS DIVERGENTES'!$P241</f>
        <v>0</v>
      </c>
      <c r="T253" s="12">
        <f t="shared" si="145"/>
        <v>1814.4649772611263</v>
      </c>
    </row>
    <row r="254" spans="1:27" hidden="1">
      <c r="A254" s="118">
        <v>21008000</v>
      </c>
      <c r="B254" s="94">
        <v>72561</v>
      </c>
      <c r="C254" s="94" t="s">
        <v>291</v>
      </c>
      <c r="D254" s="95" t="s">
        <v>26</v>
      </c>
      <c r="E254" s="97">
        <v>2</v>
      </c>
      <c r="F254" s="11">
        <f>VLOOKUP(A254,'[1]CORREÇÃO DOS ITENS DIVERGENTES'!$A$13:$G$490,7)</f>
        <v>6.0225313962191427</v>
      </c>
      <c r="G254" s="91">
        <f t="shared" si="146"/>
        <v>7.5281642452739286</v>
      </c>
      <c r="H254" s="12">
        <f t="shared" si="149"/>
        <v>15.056328490547857</v>
      </c>
      <c r="I254" s="80">
        <v>2</v>
      </c>
      <c r="J254" s="11">
        <f t="shared" si="150"/>
        <v>6.0225313962191427</v>
      </c>
      <c r="K254" s="10">
        <f t="shared" si="151"/>
        <v>7.6696937330850785</v>
      </c>
      <c r="L254" s="12">
        <f t="shared" si="154"/>
        <v>15.339387466170157</v>
      </c>
      <c r="M254" s="11">
        <v>0</v>
      </c>
      <c r="N254" s="11">
        <f t="shared" si="152"/>
        <v>6.0225313962191427</v>
      </c>
      <c r="O254" s="10">
        <f t="shared" si="153"/>
        <v>7.6696937330850785</v>
      </c>
      <c r="P254" s="12">
        <f t="shared" si="137"/>
        <v>0</v>
      </c>
      <c r="Q254" s="148"/>
      <c r="R254" s="74"/>
      <c r="S254" s="14">
        <f>F254-'[1]CORREÇÃO DOS ITENS DIVERGENTES'!$P242</f>
        <v>0</v>
      </c>
      <c r="T254" s="12">
        <f t="shared" si="145"/>
        <v>15.056328490547857</v>
      </c>
    </row>
    <row r="255" spans="1:27" s="8" customFormat="1" ht="14.25" customHeight="1" thickBot="1">
      <c r="A255" s="139">
        <v>22000000</v>
      </c>
      <c r="B255" s="139"/>
      <c r="C255" s="139" t="s">
        <v>292</v>
      </c>
      <c r="D255" s="139"/>
      <c r="E255" s="139"/>
      <c r="F255" s="139"/>
      <c r="G255" s="139"/>
      <c r="H255" s="140">
        <f>H256+H260+H261+H262</f>
        <v>1916.44</v>
      </c>
      <c r="I255" s="159"/>
      <c r="J255" s="159"/>
      <c r="K255" s="27"/>
      <c r="L255" s="26">
        <f>SUM(L256:L259)</f>
        <v>1471.1980148600373</v>
      </c>
      <c r="M255" s="159"/>
      <c r="N255" s="159"/>
      <c r="O255" s="27"/>
      <c r="P255" s="26">
        <f>SUM(P256:P259)</f>
        <v>0</v>
      </c>
      <c r="Q255" s="160">
        <f t="shared" si="148"/>
        <v>1471.1980148600373</v>
      </c>
      <c r="R255" s="159"/>
      <c r="S255" s="159"/>
      <c r="T255" s="140">
        <f>T256+T260+T261+T262</f>
        <v>2395.5500000000002</v>
      </c>
      <c r="V255" s="18"/>
      <c r="Y255" s="1"/>
      <c r="Z255" s="1"/>
      <c r="AA255" s="1"/>
    </row>
    <row r="256" spans="1:27" ht="34.5" thickBot="1">
      <c r="A256" s="131">
        <v>22001000</v>
      </c>
      <c r="B256" s="89" t="s">
        <v>293</v>
      </c>
      <c r="C256" s="89" t="s">
        <v>294</v>
      </c>
      <c r="D256" s="90" t="s">
        <v>19</v>
      </c>
      <c r="E256" s="11">
        <v>12</v>
      </c>
      <c r="F256" s="35">
        <v>39.299999999999997</v>
      </c>
      <c r="G256" s="91">
        <f t="shared" si="146"/>
        <v>49.125</v>
      </c>
      <c r="H256" s="12">
        <f t="shared" ref="H256:H262" si="155">E256*F256</f>
        <v>471.59999999999997</v>
      </c>
      <c r="I256" s="22">
        <v>13</v>
      </c>
      <c r="J256" s="11">
        <f>F256</f>
        <v>39.299999999999997</v>
      </c>
      <c r="K256" s="10">
        <f t="shared" ref="K256" si="156">J256*1.2735</f>
        <v>50.048549999999999</v>
      </c>
      <c r="L256" s="12">
        <f>I256*K256</f>
        <v>650.63114999999993</v>
      </c>
      <c r="M256" s="11">
        <v>0</v>
      </c>
      <c r="N256" s="11">
        <f t="shared" ref="N256:N259" si="157">J256</f>
        <v>39.299999999999997</v>
      </c>
      <c r="O256" s="10">
        <f t="shared" ref="O256:O259" si="158">N256*1.2735</f>
        <v>50.048549999999999</v>
      </c>
      <c r="P256" s="12">
        <f t="shared" ref="P256:P296" si="159">M256*O256</f>
        <v>0</v>
      </c>
      <c r="Q256" s="148"/>
      <c r="R256" s="74"/>
      <c r="S256" s="14">
        <f>F256-'[1]CORREÇÃO DOS ITENS DIVERGENTES'!$P244</f>
        <v>-9.483391280125602</v>
      </c>
      <c r="T256" s="12">
        <f t="shared" si="145"/>
        <v>589.5</v>
      </c>
      <c r="V256" s="36"/>
      <c r="Z256" s="40"/>
    </row>
    <row r="257" spans="1:27" hidden="1">
      <c r="A257" s="118">
        <v>22002000</v>
      </c>
      <c r="B257" s="89" t="s">
        <v>293</v>
      </c>
      <c r="C257" s="89" t="s">
        <v>295</v>
      </c>
      <c r="D257" s="90" t="s">
        <v>19</v>
      </c>
      <c r="E257" s="91">
        <v>1</v>
      </c>
      <c r="F257" s="11">
        <f>VLOOKUP(A257,'[1]CORREÇÃO DOS ITENS DIVERGENTES'!$A$13:$G$490,7)</f>
        <v>11.974105132394467</v>
      </c>
      <c r="G257" s="91">
        <f t="shared" si="146"/>
        <v>14.967631415493084</v>
      </c>
      <c r="H257" s="12">
        <f t="shared" si="155"/>
        <v>11.974105132394467</v>
      </c>
      <c r="I257" s="22">
        <v>1</v>
      </c>
      <c r="J257" s="11">
        <v>11.974105132394467</v>
      </c>
      <c r="K257" s="10">
        <v>15.249022886104354</v>
      </c>
      <c r="L257" s="12">
        <f t="shared" ref="L257:L259" si="160">I257*K257</f>
        <v>15.249022886104354</v>
      </c>
      <c r="M257" s="11">
        <v>0</v>
      </c>
      <c r="N257" s="11">
        <f t="shared" si="157"/>
        <v>11.974105132394467</v>
      </c>
      <c r="O257" s="10">
        <f t="shared" si="158"/>
        <v>15.249022886104354</v>
      </c>
      <c r="P257" s="12">
        <f t="shared" si="159"/>
        <v>0</v>
      </c>
      <c r="Q257" s="148"/>
      <c r="R257" s="74"/>
      <c r="S257" s="14">
        <f>F257-'[1]CORREÇÃO DOS ITENS DIVERGENTES'!$P245</f>
        <v>0</v>
      </c>
      <c r="T257" s="12">
        <f t="shared" si="145"/>
        <v>14.967631415493084</v>
      </c>
    </row>
    <row r="258" spans="1:27" hidden="1">
      <c r="A258" s="118">
        <v>22003000</v>
      </c>
      <c r="B258" s="89" t="s">
        <v>293</v>
      </c>
      <c r="C258" s="89" t="s">
        <v>296</v>
      </c>
      <c r="D258" s="90" t="s">
        <v>19</v>
      </c>
      <c r="E258" s="91">
        <v>7</v>
      </c>
      <c r="F258" s="11">
        <f>VLOOKUP(A258,'[1]CORREÇÃO DOS ITENS DIVERGENTES'!$A$13:$G$490,7)</f>
        <v>11.974105132394467</v>
      </c>
      <c r="G258" s="91">
        <f t="shared" si="146"/>
        <v>14.967631415493084</v>
      </c>
      <c r="H258" s="12">
        <f t="shared" si="155"/>
        <v>83.818735926761263</v>
      </c>
      <c r="I258" s="22">
        <v>7</v>
      </c>
      <c r="J258" s="11">
        <v>11.974105132394467</v>
      </c>
      <c r="K258" s="10">
        <v>15.249022886104354</v>
      </c>
      <c r="L258" s="12">
        <f t="shared" si="160"/>
        <v>106.74316020273048</v>
      </c>
      <c r="M258" s="11">
        <v>0</v>
      </c>
      <c r="N258" s="11">
        <f t="shared" si="157"/>
        <v>11.974105132394467</v>
      </c>
      <c r="O258" s="10">
        <f t="shared" si="158"/>
        <v>15.249022886104354</v>
      </c>
      <c r="P258" s="12">
        <f t="shared" si="159"/>
        <v>0</v>
      </c>
      <c r="Q258" s="148"/>
      <c r="R258" s="74"/>
      <c r="S258" s="14">
        <f>F258-'[1]CORREÇÃO DOS ITENS DIVERGENTES'!$P246</f>
        <v>0</v>
      </c>
      <c r="T258" s="12">
        <f t="shared" si="145"/>
        <v>104.77341990845159</v>
      </c>
    </row>
    <row r="259" spans="1:27" ht="22.5" hidden="1">
      <c r="A259" s="118">
        <v>22004000</v>
      </c>
      <c r="B259" s="89" t="s">
        <v>297</v>
      </c>
      <c r="C259" s="89" t="s">
        <v>298</v>
      </c>
      <c r="D259" s="90" t="s">
        <v>19</v>
      </c>
      <c r="E259" s="91">
        <v>7</v>
      </c>
      <c r="F259" s="11">
        <f>VLOOKUP(A259,'[1]CORREÇÃO DOS ITENS DIVERGENTES'!$A$13:$G$490,7)</f>
        <v>78.363865810892662</v>
      </c>
      <c r="G259" s="91">
        <f t="shared" si="146"/>
        <v>97.954832263615828</v>
      </c>
      <c r="H259" s="12">
        <f t="shared" si="155"/>
        <v>548.54706067624863</v>
      </c>
      <c r="I259" s="22">
        <v>7</v>
      </c>
      <c r="J259" s="11">
        <v>78.363865810892662</v>
      </c>
      <c r="K259" s="10">
        <v>99.796383110171817</v>
      </c>
      <c r="L259" s="12">
        <f t="shared" si="160"/>
        <v>698.57468177120268</v>
      </c>
      <c r="M259" s="11">
        <v>0</v>
      </c>
      <c r="N259" s="11">
        <f t="shared" si="157"/>
        <v>78.363865810892662</v>
      </c>
      <c r="O259" s="10">
        <f t="shared" si="158"/>
        <v>99.796383110171817</v>
      </c>
      <c r="P259" s="12">
        <f t="shared" si="159"/>
        <v>0</v>
      </c>
      <c r="Q259" s="148"/>
      <c r="R259" s="74"/>
      <c r="S259" s="14">
        <f>F259-'[1]CORREÇÃO DOS ITENS DIVERGENTES'!$P247</f>
        <v>0</v>
      </c>
      <c r="T259" s="12">
        <f t="shared" si="145"/>
        <v>685.68382584531082</v>
      </c>
    </row>
    <row r="260" spans="1:27">
      <c r="A260" s="118">
        <v>22002000</v>
      </c>
      <c r="B260" s="89" t="s">
        <v>299</v>
      </c>
      <c r="C260" s="89" t="s">
        <v>295</v>
      </c>
      <c r="D260" s="90" t="s">
        <v>19</v>
      </c>
      <c r="E260" s="91">
        <v>1</v>
      </c>
      <c r="F260" s="35">
        <v>30</v>
      </c>
      <c r="G260" s="91">
        <f t="shared" si="146"/>
        <v>37.5</v>
      </c>
      <c r="H260" s="12">
        <f t="shared" si="155"/>
        <v>30</v>
      </c>
      <c r="I260" s="22">
        <v>1</v>
      </c>
      <c r="J260" s="11">
        <v>11.974105132394467</v>
      </c>
      <c r="K260" s="10">
        <v>15.249022886104354</v>
      </c>
      <c r="L260" s="12">
        <f>I260*K260</f>
        <v>15.249022886104354</v>
      </c>
      <c r="M260" s="11">
        <v>0</v>
      </c>
      <c r="N260" s="11">
        <f>J260</f>
        <v>11.974105132394467</v>
      </c>
      <c r="O260" s="10">
        <f>N260*1.2735</f>
        <v>15.249022886104354</v>
      </c>
      <c r="P260" s="12">
        <f>M260*O260</f>
        <v>0</v>
      </c>
      <c r="Q260" s="148"/>
      <c r="R260" s="74"/>
      <c r="S260" s="14">
        <f>F260-'[1]CORREÇÃO DOS ITENS DIVERGENTES'!$P250</f>
        <v>13.555562284844935</v>
      </c>
      <c r="T260" s="12">
        <f t="shared" si="145"/>
        <v>37.5</v>
      </c>
    </row>
    <row r="261" spans="1:27">
      <c r="A261" s="118">
        <v>22003000</v>
      </c>
      <c r="B261" s="89" t="s">
        <v>293</v>
      </c>
      <c r="C261" s="89" t="s">
        <v>296</v>
      </c>
      <c r="D261" s="90" t="s">
        <v>19</v>
      </c>
      <c r="E261" s="91">
        <v>7</v>
      </c>
      <c r="F261" s="35">
        <v>30</v>
      </c>
      <c r="G261" s="91">
        <f t="shared" si="146"/>
        <v>37.5</v>
      </c>
      <c r="H261" s="12">
        <f t="shared" si="155"/>
        <v>210</v>
      </c>
      <c r="I261" s="22">
        <v>7</v>
      </c>
      <c r="J261" s="11">
        <v>11.974105132394467</v>
      </c>
      <c r="K261" s="10">
        <v>15.249022886104354</v>
      </c>
      <c r="L261" s="12">
        <f>I261*K261</f>
        <v>106.74316020273048</v>
      </c>
      <c r="M261" s="11">
        <v>0</v>
      </c>
      <c r="N261" s="11">
        <f>J261</f>
        <v>11.974105132394467</v>
      </c>
      <c r="O261" s="10">
        <f>N261*1.2735</f>
        <v>15.249022886104354</v>
      </c>
      <c r="P261" s="12">
        <f>M261*O261</f>
        <v>0</v>
      </c>
      <c r="Q261" s="148"/>
      <c r="R261" s="74"/>
      <c r="S261" s="14">
        <f>F261-'[1]CORREÇÃO DOS ITENS DIVERGENTES'!$P251</f>
        <v>14.974715485721314</v>
      </c>
      <c r="T261" s="12">
        <f t="shared" si="145"/>
        <v>262.5</v>
      </c>
    </row>
    <row r="262" spans="1:27" ht="22.5">
      <c r="A262" s="118">
        <v>22004000</v>
      </c>
      <c r="B262" s="89" t="s">
        <v>297</v>
      </c>
      <c r="C262" s="89" t="s">
        <v>298</v>
      </c>
      <c r="D262" s="90" t="s">
        <v>19</v>
      </c>
      <c r="E262" s="91">
        <v>7</v>
      </c>
      <c r="F262" s="35">
        <v>172.12</v>
      </c>
      <c r="G262" s="91">
        <f t="shared" si="146"/>
        <v>215.15</v>
      </c>
      <c r="H262" s="12">
        <f t="shared" si="155"/>
        <v>1204.8400000000001</v>
      </c>
      <c r="I262" s="22">
        <v>7</v>
      </c>
      <c r="J262" s="11">
        <v>78.363865810892662</v>
      </c>
      <c r="K262" s="10">
        <v>99.796383110171817</v>
      </c>
      <c r="L262" s="12">
        <f>I262*K262</f>
        <v>698.57468177120268</v>
      </c>
      <c r="M262" s="11">
        <v>0</v>
      </c>
      <c r="N262" s="11">
        <f>J262</f>
        <v>78.363865810892662</v>
      </c>
      <c r="O262" s="10">
        <f>N262*1.2735</f>
        <v>99.796383110171817</v>
      </c>
      <c r="P262" s="12">
        <f>M262*O262</f>
        <v>0</v>
      </c>
      <c r="Q262" s="148"/>
      <c r="R262" s="74"/>
      <c r="S262" s="14">
        <f>F262-'[1]CORREÇÃO DOS ITENS DIVERGENTES'!$P252</f>
        <v>43.012537550271219</v>
      </c>
      <c r="T262" s="12">
        <f t="shared" si="145"/>
        <v>1506.05</v>
      </c>
    </row>
    <row r="263" spans="1:27" s="8" customFormat="1" ht="14.25" customHeight="1">
      <c r="A263" s="139">
        <v>23000000</v>
      </c>
      <c r="B263" s="139"/>
      <c r="C263" s="139" t="s">
        <v>300</v>
      </c>
      <c r="D263" s="139"/>
      <c r="E263" s="139"/>
      <c r="F263" s="139"/>
      <c r="G263" s="139"/>
      <c r="H263" s="140">
        <f>H266+H267+H271+H272+H273+H274+H275+H277+H278+H282+H283+H284+H285</f>
        <v>6976.8319999999994</v>
      </c>
      <c r="I263" s="159"/>
      <c r="J263" s="159"/>
      <c r="K263" s="27"/>
      <c r="L263" s="26">
        <f>SUM(L264:L288)</f>
        <v>10714.566996064117</v>
      </c>
      <c r="M263" s="159"/>
      <c r="N263" s="159"/>
      <c r="O263" s="27"/>
      <c r="P263" s="26">
        <f>SUM(P264:P288)</f>
        <v>-805.17099953132629</v>
      </c>
      <c r="Q263" s="160">
        <f t="shared" si="148"/>
        <v>9909.3959965327904</v>
      </c>
      <c r="R263" s="159"/>
      <c r="S263" s="159"/>
      <c r="T263" s="140">
        <f>T266+T267+T271+T272+T273+T274+T275+T277+T278+T282+T283+T284+T285</f>
        <v>8721.0400000000009</v>
      </c>
      <c r="Y263" s="1"/>
      <c r="Z263" s="1"/>
      <c r="AA263" s="1"/>
    </row>
    <row r="264" spans="1:27" ht="22.5" hidden="1">
      <c r="A264" s="118">
        <v>23001000</v>
      </c>
      <c r="B264" s="89">
        <v>40729</v>
      </c>
      <c r="C264" s="89" t="s">
        <v>301</v>
      </c>
      <c r="D264" s="90" t="s">
        <v>19</v>
      </c>
      <c r="E264" s="91">
        <v>6</v>
      </c>
      <c r="F264" s="11">
        <f>VLOOKUP(A264,'[1]CORREÇÃO DOS ITENS DIVERGENTES'!$A$13:$G$490,7)</f>
        <v>142.46524195297772</v>
      </c>
      <c r="G264" s="91">
        <f t="shared" si="146"/>
        <v>178.08155244122216</v>
      </c>
      <c r="H264" s="12">
        <f>E264*G264</f>
        <v>1068.489314647333</v>
      </c>
      <c r="I264" s="22">
        <v>0</v>
      </c>
      <c r="J264" s="11">
        <f>F264</f>
        <v>142.46524195297772</v>
      </c>
      <c r="K264" s="10">
        <f t="shared" ref="K264:K343" si="161">J264*1.2735</f>
        <v>181.42948562711715</v>
      </c>
      <c r="L264" s="12">
        <f>I264*K264</f>
        <v>0</v>
      </c>
      <c r="M264" s="11">
        <f>I264-E264</f>
        <v>-6</v>
      </c>
      <c r="N264" s="11">
        <f t="shared" ref="N264:N288" si="162">J264</f>
        <v>142.46524195297772</v>
      </c>
      <c r="O264" s="10">
        <f t="shared" ref="O264:O343" si="163">N264*1.2735</f>
        <v>181.42948562711715</v>
      </c>
      <c r="P264" s="12">
        <f t="shared" si="159"/>
        <v>-1088.5769137627028</v>
      </c>
      <c r="Q264" s="148"/>
      <c r="R264" s="74"/>
      <c r="S264" s="14">
        <f>F264-'[1]CORREÇÃO DOS ITENS DIVERGENTES'!$P249</f>
        <v>0</v>
      </c>
      <c r="T264" s="12">
        <f t="shared" si="145"/>
        <v>1068.489314647333</v>
      </c>
    </row>
    <row r="265" spans="1:27" hidden="1">
      <c r="A265" s="118">
        <v>23002000</v>
      </c>
      <c r="B265" s="89" t="s">
        <v>302</v>
      </c>
      <c r="C265" s="89" t="s">
        <v>303</v>
      </c>
      <c r="D265" s="90" t="s">
        <v>19</v>
      </c>
      <c r="E265" s="91">
        <v>5</v>
      </c>
      <c r="F265" s="11">
        <f>VLOOKUP(A265,'[1]CORREÇÃO DOS ITENS DIVERGENTES'!$A$13:$G$490,7)</f>
        <v>16.444437715155065</v>
      </c>
      <c r="G265" s="91">
        <f t="shared" si="146"/>
        <v>20.55554714394383</v>
      </c>
      <c r="H265" s="12">
        <f>E265*G265</f>
        <v>102.77773571971915</v>
      </c>
      <c r="I265" s="22">
        <v>5</v>
      </c>
      <c r="J265" s="11">
        <f>F265</f>
        <v>16.444437715155065</v>
      </c>
      <c r="K265" s="10">
        <f t="shared" si="161"/>
        <v>20.941991430249978</v>
      </c>
      <c r="L265" s="12">
        <f t="shared" ref="L265:L288" si="164">I265*K265</f>
        <v>104.70995715124988</v>
      </c>
      <c r="M265" s="11">
        <v>0</v>
      </c>
      <c r="N265" s="11">
        <f t="shared" si="162"/>
        <v>16.444437715155065</v>
      </c>
      <c r="O265" s="10">
        <f t="shared" si="163"/>
        <v>20.941991430249978</v>
      </c>
      <c r="P265" s="12">
        <f t="shared" si="159"/>
        <v>0</v>
      </c>
      <c r="Q265" s="148"/>
      <c r="R265" s="74"/>
      <c r="S265" s="14">
        <f>F265-'[1]CORREÇÃO DOS ITENS DIVERGENTES'!$P250</f>
        <v>0</v>
      </c>
      <c r="T265" s="12">
        <f t="shared" si="145"/>
        <v>102.77773571971915</v>
      </c>
    </row>
    <row r="266" spans="1:27">
      <c r="A266" s="118">
        <v>23002000</v>
      </c>
      <c r="B266" s="89">
        <v>4269</v>
      </c>
      <c r="C266" s="89" t="s">
        <v>303</v>
      </c>
      <c r="D266" s="90" t="s">
        <v>19</v>
      </c>
      <c r="E266" s="91">
        <v>1</v>
      </c>
      <c r="F266" s="35">
        <v>21.01</v>
      </c>
      <c r="G266" s="91">
        <f t="shared" si="146"/>
        <v>26.262500000000003</v>
      </c>
      <c r="H266" s="12">
        <f t="shared" ref="H266:H285" si="165">E266*F266</f>
        <v>21.01</v>
      </c>
      <c r="I266" s="22"/>
      <c r="J266" s="11"/>
      <c r="K266" s="10"/>
      <c r="L266" s="12"/>
      <c r="M266" s="11"/>
      <c r="N266" s="11"/>
      <c r="O266" s="10"/>
      <c r="P266" s="12"/>
      <c r="Q266" s="148"/>
      <c r="R266" s="74"/>
      <c r="S266" s="14"/>
      <c r="T266" s="12">
        <f t="shared" si="145"/>
        <v>26.262500000000003</v>
      </c>
    </row>
    <row r="267" spans="1:27" ht="22.5">
      <c r="A267" s="118">
        <v>23003000</v>
      </c>
      <c r="B267" s="89" t="s">
        <v>304</v>
      </c>
      <c r="C267" s="89" t="s">
        <v>305</v>
      </c>
      <c r="D267" s="90" t="s">
        <v>19</v>
      </c>
      <c r="E267" s="91">
        <v>3</v>
      </c>
      <c r="F267" s="35">
        <v>39.5</v>
      </c>
      <c r="G267" s="91">
        <f t="shared" si="146"/>
        <v>49.375</v>
      </c>
      <c r="H267" s="12">
        <f t="shared" si="165"/>
        <v>118.5</v>
      </c>
      <c r="I267" s="22">
        <v>5</v>
      </c>
      <c r="J267" s="11">
        <f>F267</f>
        <v>39.5</v>
      </c>
      <c r="K267" s="10">
        <f t="shared" si="161"/>
        <v>50.303250000000006</v>
      </c>
      <c r="L267" s="12">
        <f t="shared" si="164"/>
        <v>251.51625000000001</v>
      </c>
      <c r="M267" s="11">
        <v>0</v>
      </c>
      <c r="N267" s="11">
        <f t="shared" si="162"/>
        <v>39.5</v>
      </c>
      <c r="O267" s="10">
        <f t="shared" si="163"/>
        <v>50.303250000000006</v>
      </c>
      <c r="P267" s="12">
        <f t="shared" si="159"/>
        <v>0</v>
      </c>
      <c r="Q267" s="148"/>
      <c r="R267" s="74"/>
      <c r="S267" s="14">
        <f>F267-'[1]CORREÇÃO DOS ITENS DIVERGENTES'!$P251</f>
        <v>24.474715485721312</v>
      </c>
      <c r="T267" s="12">
        <f t="shared" si="145"/>
        <v>148.125</v>
      </c>
    </row>
    <row r="268" spans="1:27" ht="22.5" hidden="1">
      <c r="A268" s="118">
        <v>23004000</v>
      </c>
      <c r="B268" s="89" t="s">
        <v>306</v>
      </c>
      <c r="C268" s="89" t="s">
        <v>307</v>
      </c>
      <c r="D268" s="90" t="s">
        <v>19</v>
      </c>
      <c r="E268" s="91">
        <v>1</v>
      </c>
      <c r="F268" s="11">
        <f>VLOOKUP(A268,'[1]CORREÇÃO DOS ITENS DIVERGENTES'!$A$13:$G$490,7)</f>
        <v>129.10746244972879</v>
      </c>
      <c r="G268" s="91">
        <f t="shared" si="146"/>
        <v>161.38432806216099</v>
      </c>
      <c r="H268" s="12">
        <f t="shared" si="165"/>
        <v>129.10746244972879</v>
      </c>
      <c r="I268" s="22">
        <v>1</v>
      </c>
      <c r="J268" s="11">
        <f>F268</f>
        <v>129.10746244972879</v>
      </c>
      <c r="K268" s="10">
        <f t="shared" si="161"/>
        <v>164.41835342972962</v>
      </c>
      <c r="L268" s="12">
        <f t="shared" si="164"/>
        <v>164.41835342972962</v>
      </c>
      <c r="M268" s="11">
        <v>0</v>
      </c>
      <c r="N268" s="11">
        <f t="shared" si="162"/>
        <v>129.10746244972879</v>
      </c>
      <c r="O268" s="10">
        <f t="shared" si="163"/>
        <v>164.41835342972962</v>
      </c>
      <c r="P268" s="12">
        <f t="shared" si="159"/>
        <v>0</v>
      </c>
      <c r="Q268" s="148"/>
      <c r="R268" s="74"/>
      <c r="S268" s="14">
        <f>F268-'[1]CORREÇÃO DOS ITENS DIVERGENTES'!$P252</f>
        <v>0</v>
      </c>
      <c r="T268" s="12">
        <f t="shared" si="145"/>
        <v>161.38432806216099</v>
      </c>
    </row>
    <row r="269" spans="1:27" ht="22.5" hidden="1">
      <c r="A269" s="118">
        <v>23005000</v>
      </c>
      <c r="B269" s="89" t="s">
        <v>308</v>
      </c>
      <c r="C269" s="89" t="s">
        <v>309</v>
      </c>
      <c r="D269" s="90" t="s">
        <v>19</v>
      </c>
      <c r="E269" s="91">
        <v>2</v>
      </c>
      <c r="F269" s="11">
        <f>VLOOKUP(A269,'[1]CORREÇÃO DOS ITENS DIVERGENTES'!$A$13:$G$490,7)</f>
        <v>17.171753730604213</v>
      </c>
      <c r="G269" s="91">
        <f t="shared" si="146"/>
        <v>21.464692163255265</v>
      </c>
      <c r="H269" s="12">
        <f t="shared" si="165"/>
        <v>34.343507461208425</v>
      </c>
      <c r="I269" s="22">
        <v>3</v>
      </c>
      <c r="J269" s="11">
        <f>F269</f>
        <v>17.171753730604213</v>
      </c>
      <c r="K269" s="10">
        <f t="shared" si="161"/>
        <v>21.868228375924467</v>
      </c>
      <c r="L269" s="12">
        <f t="shared" si="164"/>
        <v>65.604685127773394</v>
      </c>
      <c r="M269" s="11">
        <v>0</v>
      </c>
      <c r="N269" s="11">
        <f t="shared" si="162"/>
        <v>17.171753730604213</v>
      </c>
      <c r="O269" s="10">
        <f t="shared" si="163"/>
        <v>21.868228375924467</v>
      </c>
      <c r="P269" s="12">
        <f t="shared" si="159"/>
        <v>0</v>
      </c>
      <c r="Q269" s="148"/>
      <c r="R269" s="74"/>
      <c r="S269" s="14">
        <f>F269-'[1]CORREÇÃO DOS ITENS DIVERGENTES'!$P253</f>
        <v>0</v>
      </c>
      <c r="T269" s="12">
        <f t="shared" si="145"/>
        <v>42.929384326510529</v>
      </c>
    </row>
    <row r="270" spans="1:27" ht="45" hidden="1">
      <c r="A270" s="118">
        <v>23006000</v>
      </c>
      <c r="B270" s="89" t="s">
        <v>310</v>
      </c>
      <c r="C270" s="89" t="s">
        <v>311</v>
      </c>
      <c r="D270" s="90" t="s">
        <v>19</v>
      </c>
      <c r="E270" s="91">
        <v>2</v>
      </c>
      <c r="F270" s="11">
        <f>VLOOKUP(A270,'[1]CORREÇÃO DOS ITENS DIVERGENTES'!$A$13:$G$490,7)</f>
        <v>73.175086920188406</v>
      </c>
      <c r="G270" s="91">
        <f t="shared" si="146"/>
        <v>91.468858650235504</v>
      </c>
      <c r="H270" s="12">
        <f t="shared" si="165"/>
        <v>146.35017384037681</v>
      </c>
      <c r="I270" s="22">
        <v>2</v>
      </c>
      <c r="J270" s="11">
        <f>F270</f>
        <v>73.175086920188406</v>
      </c>
      <c r="K270" s="10">
        <f t="shared" si="161"/>
        <v>93.188473192859945</v>
      </c>
      <c r="L270" s="12">
        <f t="shared" si="164"/>
        <v>186.37694638571989</v>
      </c>
      <c r="M270" s="11">
        <v>0</v>
      </c>
      <c r="N270" s="11">
        <f t="shared" si="162"/>
        <v>73.175086920188406</v>
      </c>
      <c r="O270" s="10">
        <f t="shared" si="163"/>
        <v>93.188473192859945</v>
      </c>
      <c r="P270" s="12">
        <f t="shared" si="159"/>
        <v>0</v>
      </c>
      <c r="Q270" s="148"/>
      <c r="R270" s="74"/>
      <c r="S270" s="14">
        <f>F270-'[1]CORREÇÃO DOS ITENS DIVERGENTES'!$P254</f>
        <v>0</v>
      </c>
      <c r="T270" s="12">
        <f t="shared" si="145"/>
        <v>182.93771730047101</v>
      </c>
    </row>
    <row r="271" spans="1:27" ht="22.5">
      <c r="A271" s="118">
        <v>23004000</v>
      </c>
      <c r="B271" s="89">
        <v>86909</v>
      </c>
      <c r="C271" s="89" t="s">
        <v>307</v>
      </c>
      <c r="D271" s="90" t="s">
        <v>19</v>
      </c>
      <c r="E271" s="91">
        <v>1</v>
      </c>
      <c r="F271" s="35">
        <v>73.53</v>
      </c>
      <c r="G271" s="91">
        <f t="shared" si="146"/>
        <v>91.912499999999994</v>
      </c>
      <c r="H271" s="12">
        <f t="shared" si="165"/>
        <v>73.53</v>
      </c>
      <c r="I271" s="22"/>
      <c r="J271" s="11"/>
      <c r="K271" s="10"/>
      <c r="L271" s="12"/>
      <c r="M271" s="11"/>
      <c r="N271" s="11"/>
      <c r="O271" s="10"/>
      <c r="P271" s="12"/>
      <c r="Q271" s="148"/>
      <c r="R271" s="74"/>
      <c r="S271" s="14"/>
      <c r="T271" s="12">
        <f t="shared" si="145"/>
        <v>91.912499999999994</v>
      </c>
    </row>
    <row r="272" spans="1:27" ht="22.5">
      <c r="A272" s="118">
        <v>23005000</v>
      </c>
      <c r="B272" s="89">
        <v>86913</v>
      </c>
      <c r="C272" s="89" t="s">
        <v>309</v>
      </c>
      <c r="D272" s="90" t="s">
        <v>19</v>
      </c>
      <c r="E272" s="91">
        <v>3</v>
      </c>
      <c r="F272" s="35">
        <v>13.75</v>
      </c>
      <c r="G272" s="91">
        <f t="shared" si="146"/>
        <v>17.1875</v>
      </c>
      <c r="H272" s="12">
        <f t="shared" si="165"/>
        <v>41.25</v>
      </c>
      <c r="I272" s="22"/>
      <c r="J272" s="11"/>
      <c r="K272" s="10"/>
      <c r="L272" s="12"/>
      <c r="M272" s="11"/>
      <c r="N272" s="11"/>
      <c r="O272" s="10"/>
      <c r="P272" s="12"/>
      <c r="Q272" s="148"/>
      <c r="R272" s="74"/>
      <c r="S272" s="14"/>
      <c r="T272" s="12">
        <f t="shared" ref="T272:T335" si="166">E272*G272</f>
        <v>51.5625</v>
      </c>
    </row>
    <row r="273" spans="1:22">
      <c r="A273" s="118"/>
      <c r="B273" s="89">
        <v>377</v>
      </c>
      <c r="C273" s="89" t="s">
        <v>312</v>
      </c>
      <c r="D273" s="90" t="s">
        <v>19</v>
      </c>
      <c r="E273" s="91">
        <v>5</v>
      </c>
      <c r="F273" s="35">
        <v>19.899999999999999</v>
      </c>
      <c r="G273" s="91">
        <f t="shared" si="146"/>
        <v>24.875</v>
      </c>
      <c r="H273" s="12">
        <f t="shared" si="165"/>
        <v>99.5</v>
      </c>
      <c r="I273" s="22"/>
      <c r="J273" s="11"/>
      <c r="K273" s="10"/>
      <c r="L273" s="12"/>
      <c r="M273" s="11"/>
      <c r="N273" s="11"/>
      <c r="O273" s="10"/>
      <c r="P273" s="12"/>
      <c r="Q273" s="148"/>
      <c r="R273" s="74"/>
      <c r="S273" s="14"/>
      <c r="T273" s="12">
        <f t="shared" si="166"/>
        <v>124.375</v>
      </c>
    </row>
    <row r="274" spans="1:22" ht="45">
      <c r="A274" s="118">
        <v>23006000</v>
      </c>
      <c r="B274" s="89">
        <v>86904</v>
      </c>
      <c r="C274" s="89" t="s">
        <v>311</v>
      </c>
      <c r="D274" s="90" t="s">
        <v>19</v>
      </c>
      <c r="E274" s="91">
        <v>2</v>
      </c>
      <c r="F274" s="35">
        <v>86.76</v>
      </c>
      <c r="G274" s="91">
        <f t="shared" si="146"/>
        <v>108.45</v>
      </c>
      <c r="H274" s="12">
        <f t="shared" si="165"/>
        <v>173.52</v>
      </c>
      <c r="I274" s="22"/>
      <c r="J274" s="11"/>
      <c r="K274" s="10"/>
      <c r="L274" s="12"/>
      <c r="M274" s="11"/>
      <c r="N274" s="11"/>
      <c r="O274" s="10"/>
      <c r="P274" s="12"/>
      <c r="Q274" s="148"/>
      <c r="R274" s="74"/>
      <c r="S274" s="14"/>
      <c r="T274" s="12">
        <f t="shared" si="166"/>
        <v>216.9</v>
      </c>
    </row>
    <row r="275" spans="1:22" ht="22.5">
      <c r="A275" s="118">
        <v>23007000</v>
      </c>
      <c r="B275" s="89" t="s">
        <v>313</v>
      </c>
      <c r="C275" s="89" t="s">
        <v>314</v>
      </c>
      <c r="D275" s="90" t="s">
        <v>22</v>
      </c>
      <c r="E275" s="91">
        <f>7.86-3</f>
        <v>4.8600000000000003</v>
      </c>
      <c r="F275" s="35">
        <v>324.2</v>
      </c>
      <c r="G275" s="91">
        <f t="shared" ref="G275:G338" si="167">F275*1.25</f>
        <v>405.25</v>
      </c>
      <c r="H275" s="12">
        <f t="shared" si="165"/>
        <v>1575.6120000000001</v>
      </c>
      <c r="I275" s="22">
        <f>4.86+3</f>
        <v>7.86</v>
      </c>
      <c r="J275" s="11">
        <f>F275</f>
        <v>324.2</v>
      </c>
      <c r="K275" s="10">
        <f t="shared" si="161"/>
        <v>412.86869999999999</v>
      </c>
      <c r="L275" s="12">
        <f t="shared" si="164"/>
        <v>3245.147982</v>
      </c>
      <c r="M275" s="11">
        <v>0</v>
      </c>
      <c r="N275" s="11">
        <f t="shared" si="162"/>
        <v>324.2</v>
      </c>
      <c r="O275" s="10">
        <f t="shared" si="163"/>
        <v>412.86869999999999</v>
      </c>
      <c r="P275" s="12">
        <f t="shared" si="159"/>
        <v>0</v>
      </c>
      <c r="Q275" s="148"/>
      <c r="R275" s="74"/>
      <c r="S275" s="14">
        <f>F275-'[1]CORREÇÃO DOS ITENS DIVERGENTES'!$P255</f>
        <v>136.10011293134116</v>
      </c>
      <c r="T275" s="12">
        <f t="shared" si="166"/>
        <v>1969.5150000000001</v>
      </c>
    </row>
    <row r="276" spans="1:22" ht="33.75" hidden="1">
      <c r="A276" s="118">
        <v>23009000</v>
      </c>
      <c r="B276" s="89" t="s">
        <v>315</v>
      </c>
      <c r="C276" s="89" t="s">
        <v>316</v>
      </c>
      <c r="D276" s="90" t="s">
        <v>19</v>
      </c>
      <c r="E276" s="91">
        <v>6</v>
      </c>
      <c r="F276" s="11">
        <f>VLOOKUP(A276,'[1]CORREÇÃO DOS ITENS DIVERGENTES'!$A$13:$G$490,7)</f>
        <v>222.54096131242753</v>
      </c>
      <c r="G276" s="91">
        <f t="shared" si="167"/>
        <v>278.17620164053443</v>
      </c>
      <c r="H276" s="12">
        <f t="shared" si="165"/>
        <v>1335.2457678745652</v>
      </c>
      <c r="I276" s="22">
        <f>6+M276</f>
        <v>7</v>
      </c>
      <c r="J276" s="11">
        <f>F276</f>
        <v>222.54096131242753</v>
      </c>
      <c r="K276" s="10">
        <f t="shared" si="161"/>
        <v>283.40591423137647</v>
      </c>
      <c r="L276" s="12">
        <f t="shared" si="164"/>
        <v>1983.8413996196352</v>
      </c>
      <c r="M276" s="11">
        <f>7-6</f>
        <v>1</v>
      </c>
      <c r="N276" s="11">
        <f t="shared" si="162"/>
        <v>222.54096131242753</v>
      </c>
      <c r="O276" s="10">
        <f t="shared" si="163"/>
        <v>283.40591423137647</v>
      </c>
      <c r="P276" s="12">
        <f t="shared" si="159"/>
        <v>283.40591423137647</v>
      </c>
      <c r="Q276" s="148"/>
      <c r="R276" s="74"/>
      <c r="S276" s="14">
        <f>F276-'[1]CORREÇÃO DOS ITENS DIVERGENTES'!$P256</f>
        <v>0</v>
      </c>
      <c r="T276" s="12">
        <f t="shared" si="166"/>
        <v>1669.0572098432067</v>
      </c>
    </row>
    <row r="277" spans="1:22" ht="33.75">
      <c r="A277" s="118">
        <v>23009000</v>
      </c>
      <c r="B277" s="89">
        <v>86888</v>
      </c>
      <c r="C277" s="89" t="s">
        <v>316</v>
      </c>
      <c r="D277" s="90" t="s">
        <v>19</v>
      </c>
      <c r="E277" s="91">
        <v>5</v>
      </c>
      <c r="F277" s="35">
        <v>344.31</v>
      </c>
      <c r="G277" s="91">
        <f t="shared" si="167"/>
        <v>430.38749999999999</v>
      </c>
      <c r="H277" s="12">
        <f t="shared" si="165"/>
        <v>1721.55</v>
      </c>
      <c r="I277" s="22"/>
      <c r="J277" s="11"/>
      <c r="K277" s="10"/>
      <c r="L277" s="12"/>
      <c r="M277" s="11"/>
      <c r="N277" s="11"/>
      <c r="O277" s="10"/>
      <c r="P277" s="12"/>
      <c r="Q277" s="148"/>
      <c r="R277" s="74"/>
      <c r="S277" s="14"/>
      <c r="T277" s="12">
        <f t="shared" si="166"/>
        <v>2151.9375</v>
      </c>
    </row>
    <row r="278" spans="1:22" ht="22.5">
      <c r="A278" s="118">
        <v>23010000</v>
      </c>
      <c r="B278" s="89" t="s">
        <v>317</v>
      </c>
      <c r="C278" s="89" t="s">
        <v>318</v>
      </c>
      <c r="D278" s="90" t="s">
        <v>19</v>
      </c>
      <c r="E278" s="91">
        <v>2</v>
      </c>
      <c r="F278" s="35">
        <v>253.37</v>
      </c>
      <c r="G278" s="91">
        <f t="shared" si="167"/>
        <v>316.71249999999998</v>
      </c>
      <c r="H278" s="12">
        <f t="shared" si="165"/>
        <v>506.74</v>
      </c>
      <c r="I278" s="22">
        <v>2</v>
      </c>
      <c r="J278" s="11">
        <f>F278</f>
        <v>253.37</v>
      </c>
      <c r="K278" s="10">
        <f t="shared" si="161"/>
        <v>322.666695</v>
      </c>
      <c r="L278" s="12">
        <f t="shared" si="164"/>
        <v>645.33339000000001</v>
      </c>
      <c r="M278" s="11">
        <v>0</v>
      </c>
      <c r="N278" s="11">
        <f t="shared" si="162"/>
        <v>253.37</v>
      </c>
      <c r="O278" s="10">
        <f t="shared" si="163"/>
        <v>322.666695</v>
      </c>
      <c r="P278" s="12">
        <f t="shared" si="159"/>
        <v>0</v>
      </c>
      <c r="Q278" s="148"/>
      <c r="R278" s="74"/>
      <c r="S278" s="14">
        <f>F278-'[1]CORREÇÃO DOS ITENS DIVERGENTES'!$P257</f>
        <v>209.21659603773361</v>
      </c>
      <c r="T278" s="12">
        <f t="shared" si="166"/>
        <v>633.42499999999995</v>
      </c>
      <c r="V278" s="41"/>
    </row>
    <row r="279" spans="1:22" ht="22.5" hidden="1">
      <c r="A279" s="118">
        <v>23011000</v>
      </c>
      <c r="B279" s="89" t="s">
        <v>319</v>
      </c>
      <c r="C279" s="89" t="s">
        <v>320</v>
      </c>
      <c r="D279" s="90" t="s">
        <v>19</v>
      </c>
      <c r="E279" s="91">
        <v>2</v>
      </c>
      <c r="F279" s="35">
        <f>VLOOKUP(A279,'[1]CORREÇÃO DOS ITENS DIVERGENTES'!$A$13:$G$490,7)</f>
        <v>130.08313027533129</v>
      </c>
      <c r="G279" s="91">
        <f t="shared" si="167"/>
        <v>162.60391284416411</v>
      </c>
      <c r="H279" s="12">
        <f t="shared" si="165"/>
        <v>260.16626055066257</v>
      </c>
      <c r="I279" s="22">
        <v>2</v>
      </c>
      <c r="J279" s="11">
        <f>F279</f>
        <v>130.08313027533129</v>
      </c>
      <c r="K279" s="10">
        <f t="shared" si="161"/>
        <v>165.66086640563441</v>
      </c>
      <c r="L279" s="12">
        <f t="shared" si="164"/>
        <v>331.32173281126882</v>
      </c>
      <c r="M279" s="11">
        <v>0</v>
      </c>
      <c r="N279" s="11">
        <f t="shared" si="162"/>
        <v>130.08313027533129</v>
      </c>
      <c r="O279" s="10">
        <f t="shared" si="163"/>
        <v>165.66086640563441</v>
      </c>
      <c r="P279" s="12">
        <f t="shared" si="159"/>
        <v>0</v>
      </c>
      <c r="Q279" s="148"/>
      <c r="R279" s="74"/>
      <c r="S279" s="14">
        <f>F279-'[1]CORREÇÃO DOS ITENS DIVERGENTES'!$P258</f>
        <v>0</v>
      </c>
      <c r="T279" s="12">
        <f t="shared" si="166"/>
        <v>325.20782568832823</v>
      </c>
      <c r="V279" s="41"/>
    </row>
    <row r="280" spans="1:22" ht="22.5" hidden="1">
      <c r="A280" s="118">
        <v>23012000</v>
      </c>
      <c r="B280" s="89" t="s">
        <v>321</v>
      </c>
      <c r="C280" s="89" t="s">
        <v>322</v>
      </c>
      <c r="D280" s="90" t="s">
        <v>19</v>
      </c>
      <c r="E280" s="91">
        <v>4</v>
      </c>
      <c r="F280" s="35">
        <f>VLOOKUP(A280,'[1]CORREÇÃO DOS ITENS DIVERGENTES'!$A$13:$G$490,7)</f>
        <v>116.77856901711522</v>
      </c>
      <c r="G280" s="91">
        <f t="shared" si="167"/>
        <v>145.97321127139401</v>
      </c>
      <c r="H280" s="12">
        <f t="shared" si="165"/>
        <v>467.11427606846087</v>
      </c>
      <c r="I280" s="22">
        <v>4</v>
      </c>
      <c r="J280" s="11">
        <f>F280</f>
        <v>116.77856901711522</v>
      </c>
      <c r="K280" s="10">
        <f t="shared" si="161"/>
        <v>148.71750764329624</v>
      </c>
      <c r="L280" s="12">
        <f t="shared" si="164"/>
        <v>594.87003057318498</v>
      </c>
      <c r="M280" s="11">
        <v>0</v>
      </c>
      <c r="N280" s="11">
        <f t="shared" si="162"/>
        <v>116.77856901711522</v>
      </c>
      <c r="O280" s="10">
        <f t="shared" si="163"/>
        <v>148.71750764329624</v>
      </c>
      <c r="P280" s="12">
        <f t="shared" si="159"/>
        <v>0</v>
      </c>
      <c r="Q280" s="148"/>
      <c r="R280" s="74"/>
      <c r="S280" s="14">
        <f>F280-'[1]CORREÇÃO DOS ITENS DIVERGENTES'!$P259</f>
        <v>0</v>
      </c>
      <c r="T280" s="12">
        <f t="shared" si="166"/>
        <v>583.89284508557603</v>
      </c>
      <c r="V280" s="41"/>
    </row>
    <row r="281" spans="1:22" ht="33.75" hidden="1">
      <c r="A281" s="118">
        <v>23013000</v>
      </c>
      <c r="B281" s="89" t="s">
        <v>323</v>
      </c>
      <c r="C281" s="89" t="s">
        <v>324</v>
      </c>
      <c r="D281" s="90" t="s">
        <v>19</v>
      </c>
      <c r="E281" s="91">
        <v>5</v>
      </c>
      <c r="F281" s="35">
        <f>VLOOKUP(A281,'[1]CORREÇÃO DOS ITENS DIVERGENTES'!$A$13:$G$490,7)</f>
        <v>104.8665518372591</v>
      </c>
      <c r="G281" s="91">
        <f t="shared" si="167"/>
        <v>131.08318979657386</v>
      </c>
      <c r="H281" s="12">
        <f t="shared" si="165"/>
        <v>524.33275918629545</v>
      </c>
      <c r="I281" s="22">
        <v>5</v>
      </c>
      <c r="J281" s="11">
        <f>F281</f>
        <v>104.8665518372591</v>
      </c>
      <c r="K281" s="10">
        <f t="shared" si="161"/>
        <v>133.54755376474947</v>
      </c>
      <c r="L281" s="12">
        <f t="shared" si="164"/>
        <v>667.73776882374727</v>
      </c>
      <c r="M281" s="11">
        <v>0</v>
      </c>
      <c r="N281" s="11">
        <f t="shared" si="162"/>
        <v>104.8665518372591</v>
      </c>
      <c r="O281" s="10">
        <f t="shared" si="163"/>
        <v>133.54755376474947</v>
      </c>
      <c r="P281" s="12">
        <f t="shared" si="159"/>
        <v>0</v>
      </c>
      <c r="Q281" s="148"/>
      <c r="R281" s="74"/>
      <c r="S281" s="14">
        <f>F281-'[1]CORREÇÃO DOS ITENS DIVERGENTES'!$P260</f>
        <v>0</v>
      </c>
      <c r="T281" s="12">
        <f t="shared" si="166"/>
        <v>655.41594898286928</v>
      </c>
      <c r="V281" s="41"/>
    </row>
    <row r="282" spans="1:22" ht="22.5">
      <c r="A282" s="118">
        <v>23011000</v>
      </c>
      <c r="B282" s="89" t="s">
        <v>325</v>
      </c>
      <c r="C282" s="89" t="s">
        <v>320</v>
      </c>
      <c r="D282" s="90" t="s">
        <v>19</v>
      </c>
      <c r="E282" s="91">
        <v>2</v>
      </c>
      <c r="F282" s="35">
        <v>266.26</v>
      </c>
      <c r="G282" s="91">
        <f t="shared" si="167"/>
        <v>332.82499999999999</v>
      </c>
      <c r="H282" s="12">
        <f t="shared" si="165"/>
        <v>532.52</v>
      </c>
      <c r="I282" s="22"/>
      <c r="J282" s="11"/>
      <c r="K282" s="10"/>
      <c r="L282" s="12"/>
      <c r="M282" s="11"/>
      <c r="N282" s="11"/>
      <c r="O282" s="10"/>
      <c r="P282" s="12"/>
      <c r="Q282" s="148"/>
      <c r="R282" s="74"/>
      <c r="S282" s="14"/>
      <c r="T282" s="12">
        <f t="shared" si="166"/>
        <v>665.65</v>
      </c>
      <c r="V282" s="41"/>
    </row>
    <row r="283" spans="1:22" ht="22.5">
      <c r="A283" s="118">
        <v>23012000</v>
      </c>
      <c r="B283" s="89" t="s">
        <v>326</v>
      </c>
      <c r="C283" s="89" t="s">
        <v>322</v>
      </c>
      <c r="D283" s="90" t="s">
        <v>19</v>
      </c>
      <c r="E283" s="91">
        <v>4</v>
      </c>
      <c r="F283" s="35">
        <v>101.26</v>
      </c>
      <c r="G283" s="91">
        <f t="shared" si="167"/>
        <v>126.575</v>
      </c>
      <c r="H283" s="12">
        <f t="shared" si="165"/>
        <v>405.04</v>
      </c>
      <c r="I283" s="22"/>
      <c r="J283" s="11"/>
      <c r="K283" s="10"/>
      <c r="L283" s="12"/>
      <c r="M283" s="11"/>
      <c r="N283" s="11"/>
      <c r="O283" s="10"/>
      <c r="P283" s="12"/>
      <c r="Q283" s="148"/>
      <c r="R283" s="74"/>
      <c r="S283" s="14"/>
      <c r="T283" s="12">
        <f t="shared" si="166"/>
        <v>506.3</v>
      </c>
      <c r="V283" s="41"/>
    </row>
    <row r="284" spans="1:22" ht="33.75">
      <c r="A284" s="118">
        <v>23013000</v>
      </c>
      <c r="B284" s="89">
        <v>36792</v>
      </c>
      <c r="C284" s="89" t="s">
        <v>324</v>
      </c>
      <c r="D284" s="90" t="s">
        <v>19</v>
      </c>
      <c r="E284" s="91">
        <v>4</v>
      </c>
      <c r="F284" s="35">
        <v>115.1</v>
      </c>
      <c r="G284" s="91">
        <f t="shared" si="167"/>
        <v>143.875</v>
      </c>
      <c r="H284" s="12">
        <f t="shared" si="165"/>
        <v>460.4</v>
      </c>
      <c r="I284" s="22"/>
      <c r="J284" s="11"/>
      <c r="K284" s="10"/>
      <c r="L284" s="12"/>
      <c r="M284" s="11"/>
      <c r="N284" s="11"/>
      <c r="O284" s="10"/>
      <c r="P284" s="12"/>
      <c r="Q284" s="148"/>
      <c r="R284" s="74"/>
      <c r="S284" s="14"/>
      <c r="T284" s="12">
        <f t="shared" si="166"/>
        <v>575.5</v>
      </c>
      <c r="V284" s="41"/>
    </row>
    <row r="285" spans="1:22">
      <c r="A285" s="118">
        <v>23014000</v>
      </c>
      <c r="B285" s="89" t="s">
        <v>327</v>
      </c>
      <c r="C285" s="89" t="s">
        <v>328</v>
      </c>
      <c r="D285" s="90" t="s">
        <v>19</v>
      </c>
      <c r="E285" s="91">
        <v>2</v>
      </c>
      <c r="F285" s="35">
        <v>623.83000000000004</v>
      </c>
      <c r="G285" s="91">
        <f t="shared" si="167"/>
        <v>779.78750000000002</v>
      </c>
      <c r="H285" s="12">
        <f t="shared" si="165"/>
        <v>1247.6600000000001</v>
      </c>
      <c r="I285" s="22">
        <v>2</v>
      </c>
      <c r="J285" s="11">
        <f>F285</f>
        <v>623.83000000000004</v>
      </c>
      <c r="K285" s="10">
        <f t="shared" si="161"/>
        <v>794.44750500000009</v>
      </c>
      <c r="L285" s="12">
        <f t="shared" si="164"/>
        <v>1588.8950100000002</v>
      </c>
      <c r="M285" s="11">
        <v>0</v>
      </c>
      <c r="N285" s="11">
        <f t="shared" si="162"/>
        <v>623.83000000000004</v>
      </c>
      <c r="O285" s="10">
        <f t="shared" si="163"/>
        <v>794.44750500000009</v>
      </c>
      <c r="P285" s="12">
        <f t="shared" si="159"/>
        <v>0</v>
      </c>
      <c r="Q285" s="148"/>
      <c r="R285" s="74"/>
      <c r="S285" s="14">
        <f>F285-'[1]CORREÇÃO DOS ITENS DIVERGENTES'!$P261</f>
        <v>70.51103668580447</v>
      </c>
      <c r="T285" s="12">
        <f t="shared" si="166"/>
        <v>1559.575</v>
      </c>
      <c r="V285" s="36"/>
    </row>
    <row r="286" spans="1:22" ht="22.5" hidden="1">
      <c r="A286" s="118">
        <v>23015000</v>
      </c>
      <c r="B286" s="89" t="s">
        <v>329</v>
      </c>
      <c r="C286" s="89" t="s">
        <v>330</v>
      </c>
      <c r="D286" s="90" t="s">
        <v>19</v>
      </c>
      <c r="E286" s="91">
        <v>5</v>
      </c>
      <c r="F286" s="11">
        <f>VLOOKUP(A286,'[1]CORREÇÃO DOS ITENS DIVERGENTES'!$A$13:$G$490,7)</f>
        <v>124.23799302922168</v>
      </c>
      <c r="G286" s="91">
        <f t="shared" si="167"/>
        <v>155.29749128652711</v>
      </c>
      <c r="H286" s="12">
        <f>E286*G286</f>
        <v>776.48745643263555</v>
      </c>
      <c r="I286" s="22">
        <v>5</v>
      </c>
      <c r="J286" s="11">
        <f>F286</f>
        <v>124.23799302922168</v>
      </c>
      <c r="K286" s="10">
        <f t="shared" si="161"/>
        <v>158.21708412271383</v>
      </c>
      <c r="L286" s="12">
        <f t="shared" si="164"/>
        <v>791.08542061356911</v>
      </c>
      <c r="M286" s="11">
        <v>0</v>
      </c>
      <c r="N286" s="11">
        <f t="shared" si="162"/>
        <v>124.23799302922168</v>
      </c>
      <c r="O286" s="10">
        <f t="shared" si="163"/>
        <v>158.21708412271383</v>
      </c>
      <c r="P286" s="12">
        <f t="shared" si="159"/>
        <v>0</v>
      </c>
      <c r="Q286" s="148"/>
      <c r="R286" s="74"/>
      <c r="S286" s="14">
        <f>F286-'[1]CORREÇÃO DOS ITENS DIVERGENTES'!$P262</f>
        <v>0</v>
      </c>
      <c r="T286" s="12">
        <f t="shared" si="166"/>
        <v>776.48745643263555</v>
      </c>
      <c r="V286" s="41"/>
    </row>
    <row r="287" spans="1:22" ht="33.75" hidden="1">
      <c r="A287" s="118">
        <v>23016000</v>
      </c>
      <c r="B287" s="89" t="s">
        <v>331</v>
      </c>
      <c r="C287" s="89" t="s">
        <v>332</v>
      </c>
      <c r="D287" s="90" t="s">
        <v>19</v>
      </c>
      <c r="E287" s="91">
        <v>1</v>
      </c>
      <c r="F287" s="11">
        <f>VLOOKUP(A287,'[1]CORREÇÃO DOS ITENS DIVERGENTES'!$A$13:$G$490,7)</f>
        <v>48.109293509709325</v>
      </c>
      <c r="G287" s="91">
        <f t="shared" si="167"/>
        <v>60.136616887136654</v>
      </c>
      <c r="H287" s="12">
        <f>E287*G287</f>
        <v>60.136616887136654</v>
      </c>
      <c r="I287" s="22">
        <v>1</v>
      </c>
      <c r="J287" s="11">
        <f>F287</f>
        <v>48.109293509709325</v>
      </c>
      <c r="K287" s="10">
        <f t="shared" si="161"/>
        <v>61.267185284614825</v>
      </c>
      <c r="L287" s="12">
        <f t="shared" si="164"/>
        <v>61.267185284614825</v>
      </c>
      <c r="M287" s="11">
        <v>0</v>
      </c>
      <c r="N287" s="11">
        <f t="shared" si="162"/>
        <v>48.109293509709325</v>
      </c>
      <c r="O287" s="10">
        <f t="shared" si="163"/>
        <v>61.267185284614825</v>
      </c>
      <c r="P287" s="12">
        <f t="shared" si="159"/>
        <v>0</v>
      </c>
      <c r="Q287" s="148"/>
      <c r="R287" s="74"/>
      <c r="S287" s="14">
        <f>F287-'[1]CORREÇÃO DOS ITENS DIVERGENTES'!$P263</f>
        <v>0</v>
      </c>
      <c r="T287" s="12">
        <f t="shared" si="166"/>
        <v>60.136616887136654</v>
      </c>
      <c r="V287" s="41"/>
    </row>
    <row r="288" spans="1:22" ht="22.5" hidden="1">
      <c r="A288" s="118">
        <v>23017000</v>
      </c>
      <c r="B288" s="93">
        <v>9535</v>
      </c>
      <c r="C288" s="93" t="s">
        <v>333</v>
      </c>
      <c r="D288" s="114" t="s">
        <v>19</v>
      </c>
      <c r="E288" s="115">
        <v>1</v>
      </c>
      <c r="F288" s="11">
        <f>VLOOKUP(A288,'[1]CORREÇÃO DOS ITENS DIVERGENTES'!$A$13:$G$490,7)</f>
        <v>25.473799955731042</v>
      </c>
      <c r="G288" s="91">
        <f t="shared" si="167"/>
        <v>31.842249944663802</v>
      </c>
      <c r="H288" s="12">
        <f>E288*G288</f>
        <v>31.842249944663802</v>
      </c>
      <c r="I288" s="34">
        <v>1</v>
      </c>
      <c r="J288" s="11">
        <f>F288</f>
        <v>25.473799955731042</v>
      </c>
      <c r="K288" s="10">
        <f t="shared" si="161"/>
        <v>32.440884243623486</v>
      </c>
      <c r="L288" s="12">
        <f t="shared" si="164"/>
        <v>32.440884243623486</v>
      </c>
      <c r="M288" s="11">
        <v>0</v>
      </c>
      <c r="N288" s="11">
        <f t="shared" si="162"/>
        <v>25.473799955731042</v>
      </c>
      <c r="O288" s="10">
        <f t="shared" si="163"/>
        <v>32.440884243623486</v>
      </c>
      <c r="P288" s="12">
        <f t="shared" si="159"/>
        <v>0</v>
      </c>
      <c r="Q288" s="148"/>
      <c r="R288" s="74"/>
      <c r="S288" s="14">
        <f>F288-'[1]CORREÇÃO DOS ITENS DIVERGENTES'!$P264</f>
        <v>0</v>
      </c>
      <c r="T288" s="12">
        <f t="shared" si="166"/>
        <v>31.842249944663802</v>
      </c>
      <c r="V288" s="41"/>
    </row>
    <row r="289" spans="1:22" s="8" customFormat="1" ht="14.25" customHeight="1">
      <c r="A289" s="139">
        <v>24000000</v>
      </c>
      <c r="B289" s="139"/>
      <c r="C289" s="139" t="s">
        <v>334</v>
      </c>
      <c r="D289" s="139"/>
      <c r="E289" s="139"/>
      <c r="F289" s="139"/>
      <c r="G289" s="139"/>
      <c r="H289" s="140">
        <f>H290+H293+H295</f>
        <v>1157.1099999999999</v>
      </c>
      <c r="I289" s="159"/>
      <c r="J289" s="159"/>
      <c r="K289" s="27"/>
      <c r="L289" s="26">
        <f>SUM(L290:L296)</f>
        <v>3829.8369100040713</v>
      </c>
      <c r="M289" s="159"/>
      <c r="N289" s="159"/>
      <c r="O289" s="27"/>
      <c r="P289" s="26">
        <f>SUM(P290:P296)</f>
        <v>6517.0734535761749</v>
      </c>
      <c r="Q289" s="160">
        <f t="shared" si="148"/>
        <v>10346.910363580246</v>
      </c>
      <c r="R289" s="159"/>
      <c r="S289" s="159"/>
      <c r="T289" s="140">
        <f>T290+T293+T295</f>
        <v>1446.3875</v>
      </c>
      <c r="V289" s="42"/>
    </row>
    <row r="290" spans="1:22">
      <c r="A290" s="118">
        <v>24001000</v>
      </c>
      <c r="B290" s="89">
        <v>12214</v>
      </c>
      <c r="C290" s="89" t="s">
        <v>335</v>
      </c>
      <c r="D290" s="90" t="s">
        <v>19</v>
      </c>
      <c r="E290" s="91">
        <v>35</v>
      </c>
      <c r="F290" s="35">
        <v>12.7</v>
      </c>
      <c r="G290" s="91">
        <f t="shared" si="167"/>
        <v>15.875</v>
      </c>
      <c r="H290" s="12">
        <f t="shared" ref="H290:H295" si="168">E290*F290</f>
        <v>444.5</v>
      </c>
      <c r="I290" s="22">
        <v>23</v>
      </c>
      <c r="J290" s="11">
        <f>F290</f>
        <v>12.7</v>
      </c>
      <c r="K290" s="10">
        <f t="shared" si="161"/>
        <v>16.173449999999999</v>
      </c>
      <c r="L290" s="12">
        <f>I290*K290</f>
        <v>371.98935</v>
      </c>
      <c r="M290" s="11">
        <v>0</v>
      </c>
      <c r="N290" s="11">
        <f t="shared" ref="N290:N296" si="169">J290</f>
        <v>12.7</v>
      </c>
      <c r="O290" s="10">
        <f t="shared" si="163"/>
        <v>16.173449999999999</v>
      </c>
      <c r="P290" s="12">
        <f t="shared" si="159"/>
        <v>0</v>
      </c>
      <c r="Q290" s="148"/>
      <c r="R290" s="74"/>
      <c r="S290" s="14">
        <f>F290-'[1]CORREÇÃO DOS ITENS DIVERGENTES'!$P266</f>
        <v>-928.48240282121583</v>
      </c>
      <c r="T290" s="12">
        <f t="shared" si="166"/>
        <v>555.625</v>
      </c>
      <c r="V290" s="41"/>
    </row>
    <row r="291" spans="1:22" ht="67.5" hidden="1">
      <c r="A291" s="118">
        <v>24002000</v>
      </c>
      <c r="B291" s="89" t="s">
        <v>336</v>
      </c>
      <c r="C291" s="89" t="s">
        <v>337</v>
      </c>
      <c r="D291" s="90" t="s">
        <v>19</v>
      </c>
      <c r="E291" s="91">
        <v>8</v>
      </c>
      <c r="F291" s="11">
        <f>VLOOKUP(A291,'[1]CORREÇÃO DOS ITENS DIVERGENTES'!$A$13:$G$490,7)</f>
        <v>118.10015543543135</v>
      </c>
      <c r="G291" s="91">
        <f t="shared" si="167"/>
        <v>147.62519429428917</v>
      </c>
      <c r="H291" s="12">
        <f t="shared" si="168"/>
        <v>944.80124348345078</v>
      </c>
      <c r="I291" s="22">
        <v>8</v>
      </c>
      <c r="J291" s="11">
        <f>F291</f>
        <v>118.10015543543135</v>
      </c>
      <c r="K291" s="10">
        <f t="shared" si="161"/>
        <v>150.40054794702183</v>
      </c>
      <c r="L291" s="12">
        <f t="shared" ref="L291:L296" si="170">I291*K291</f>
        <v>1203.2043835761747</v>
      </c>
      <c r="M291" s="11">
        <v>8</v>
      </c>
      <c r="N291" s="11">
        <f t="shared" si="169"/>
        <v>118.10015543543135</v>
      </c>
      <c r="O291" s="10">
        <f t="shared" si="163"/>
        <v>150.40054794702183</v>
      </c>
      <c r="P291" s="12">
        <f t="shared" si="159"/>
        <v>1203.2043835761747</v>
      </c>
      <c r="Q291" s="148"/>
      <c r="R291" s="74"/>
      <c r="S291" s="14">
        <f>F291-'[1]CORREÇÃO DOS ITENS DIVERGENTES'!$P267</f>
        <v>0</v>
      </c>
      <c r="T291" s="12">
        <f t="shared" si="166"/>
        <v>1181.0015543543134</v>
      </c>
      <c r="V291" s="41"/>
    </row>
    <row r="292" spans="1:22" hidden="1">
      <c r="A292" s="118"/>
      <c r="B292" s="93">
        <v>72281</v>
      </c>
      <c r="C292" s="89" t="s">
        <v>338</v>
      </c>
      <c r="D292" s="43" t="s">
        <v>19</v>
      </c>
      <c r="E292" s="44"/>
      <c r="F292" s="44"/>
      <c r="G292" s="91">
        <f t="shared" si="167"/>
        <v>0</v>
      </c>
      <c r="H292" s="12">
        <f t="shared" si="168"/>
        <v>0</v>
      </c>
      <c r="I292" s="81"/>
      <c r="J292" s="11"/>
      <c r="K292" s="10"/>
      <c r="L292" s="12"/>
      <c r="M292" s="11">
        <v>16</v>
      </c>
      <c r="N292" s="11">
        <v>63.44</v>
      </c>
      <c r="O292" s="11">
        <v>80.790000000000006</v>
      </c>
      <c r="P292" s="12">
        <f t="shared" si="159"/>
        <v>1292.6400000000001</v>
      </c>
      <c r="Q292" s="148"/>
      <c r="R292" s="74"/>
      <c r="S292" s="14"/>
      <c r="T292" s="12">
        <f t="shared" si="166"/>
        <v>0</v>
      </c>
      <c r="V292" s="41"/>
    </row>
    <row r="293" spans="1:22">
      <c r="A293" s="118"/>
      <c r="B293" s="93">
        <v>72278</v>
      </c>
      <c r="C293" s="89" t="s">
        <v>339</v>
      </c>
      <c r="D293" s="43" t="s">
        <v>19</v>
      </c>
      <c r="E293" s="91">
        <v>7</v>
      </c>
      <c r="F293" s="45">
        <v>58.55</v>
      </c>
      <c r="G293" s="91">
        <f t="shared" si="167"/>
        <v>73.1875</v>
      </c>
      <c r="H293" s="12">
        <f t="shared" si="168"/>
        <v>409.84999999999997</v>
      </c>
      <c r="I293" s="82"/>
      <c r="J293" s="11"/>
      <c r="K293" s="10"/>
      <c r="L293" s="12"/>
      <c r="M293" s="11">
        <v>16</v>
      </c>
      <c r="N293" s="11">
        <v>26.24</v>
      </c>
      <c r="O293" s="11">
        <v>33.416640000000001</v>
      </c>
      <c r="P293" s="12">
        <f>M293*O293</f>
        <v>534.66624000000002</v>
      </c>
      <c r="Q293" s="148"/>
      <c r="R293" s="74"/>
      <c r="S293" s="14"/>
      <c r="T293" s="12">
        <f t="shared" si="166"/>
        <v>512.3125</v>
      </c>
      <c r="V293" s="41"/>
    </row>
    <row r="294" spans="1:22" ht="22.5" hidden="1">
      <c r="A294" s="118"/>
      <c r="B294" s="93" t="s">
        <v>340</v>
      </c>
      <c r="C294" s="89" t="s">
        <v>341</v>
      </c>
      <c r="D294" s="43" t="s">
        <v>19</v>
      </c>
      <c r="E294" s="44"/>
      <c r="F294" s="44"/>
      <c r="G294" s="91">
        <f t="shared" si="167"/>
        <v>0</v>
      </c>
      <c r="H294" s="12">
        <f t="shared" si="168"/>
        <v>0</v>
      </c>
      <c r="I294" s="81"/>
      <c r="J294" s="11"/>
      <c r="K294" s="10"/>
      <c r="L294" s="12"/>
      <c r="M294" s="11">
        <v>1</v>
      </c>
      <c r="N294" s="11">
        <v>2737.78</v>
      </c>
      <c r="O294" s="11">
        <v>3486.5628300000003</v>
      </c>
      <c r="P294" s="12">
        <f t="shared" si="159"/>
        <v>3486.5628300000003</v>
      </c>
      <c r="Q294" s="148"/>
      <c r="R294" s="74"/>
      <c r="S294" s="14"/>
      <c r="T294" s="12">
        <f t="shared" si="166"/>
        <v>0</v>
      </c>
      <c r="V294" s="41"/>
    </row>
    <row r="295" spans="1:22" ht="22.5">
      <c r="A295" s="118">
        <v>24003000</v>
      </c>
      <c r="B295" s="89" t="s">
        <v>342</v>
      </c>
      <c r="C295" s="89" t="s">
        <v>343</v>
      </c>
      <c r="D295" s="90" t="s">
        <v>19</v>
      </c>
      <c r="E295" s="91">
        <v>29</v>
      </c>
      <c r="F295" s="35">
        <v>10.44</v>
      </c>
      <c r="G295" s="91">
        <f t="shared" si="167"/>
        <v>13.049999999999999</v>
      </c>
      <c r="H295" s="12">
        <f t="shared" si="168"/>
        <v>302.76</v>
      </c>
      <c r="I295" s="22">
        <v>129</v>
      </c>
      <c r="J295" s="11">
        <f>F295</f>
        <v>10.44</v>
      </c>
      <c r="K295" s="10">
        <f t="shared" si="161"/>
        <v>13.295339999999999</v>
      </c>
      <c r="L295" s="12">
        <f t="shared" si="170"/>
        <v>1715.0988599999998</v>
      </c>
      <c r="M295" s="11">
        <v>0</v>
      </c>
      <c r="N295" s="11">
        <f t="shared" si="169"/>
        <v>10.44</v>
      </c>
      <c r="O295" s="10">
        <f t="shared" si="163"/>
        <v>13.295339999999999</v>
      </c>
      <c r="P295" s="12">
        <f t="shared" si="159"/>
        <v>0</v>
      </c>
      <c r="Q295" s="148"/>
      <c r="R295" s="74"/>
      <c r="S295" s="14">
        <f>F295-'[1]CORREÇÃO DOS ITENS DIVERGENTES'!$P268</f>
        <v>-97.389034144088527</v>
      </c>
      <c r="T295" s="12">
        <f t="shared" si="166"/>
        <v>378.45</v>
      </c>
      <c r="V295" s="36"/>
    </row>
    <row r="296" spans="1:22" ht="22.5" hidden="1">
      <c r="A296" s="118">
        <v>24004000</v>
      </c>
      <c r="B296" s="89" t="s">
        <v>344</v>
      </c>
      <c r="C296" s="132" t="s">
        <v>345</v>
      </c>
      <c r="D296" s="90" t="s">
        <v>19</v>
      </c>
      <c r="E296" s="43">
        <v>3</v>
      </c>
      <c r="F296" s="11">
        <f>VLOOKUP(A296,'[1]CORREÇÃO DOS ITENS DIVERGENTES'!$A$13:$G$490,7)</f>
        <v>141.22348290221089</v>
      </c>
      <c r="G296" s="91">
        <f t="shared" si="167"/>
        <v>176.52935362776361</v>
      </c>
      <c r="H296" s="12">
        <f>E296*G296</f>
        <v>529.58806088329084</v>
      </c>
      <c r="I296" s="83">
        <v>3</v>
      </c>
      <c r="J296" s="11">
        <f>F296</f>
        <v>141.22348290221089</v>
      </c>
      <c r="K296" s="10">
        <f t="shared" si="161"/>
        <v>179.84810547596558</v>
      </c>
      <c r="L296" s="12">
        <f t="shared" si="170"/>
        <v>539.54431642789677</v>
      </c>
      <c r="M296" s="11">
        <v>0</v>
      </c>
      <c r="N296" s="11">
        <f t="shared" si="169"/>
        <v>141.22348290221089</v>
      </c>
      <c r="O296" s="10">
        <f t="shared" si="163"/>
        <v>179.84810547596558</v>
      </c>
      <c r="P296" s="12">
        <f t="shared" si="159"/>
        <v>0</v>
      </c>
      <c r="Q296" s="148"/>
      <c r="R296" s="74"/>
      <c r="S296" s="14">
        <f>F296-'[1]CORREÇÃO DOS ITENS DIVERGENTES'!$P269</f>
        <v>0</v>
      </c>
      <c r="T296" s="12">
        <f t="shared" si="166"/>
        <v>529.58806088329084</v>
      </c>
      <c r="V296" s="41"/>
    </row>
    <row r="297" spans="1:22" s="8" customFormat="1" ht="14.25" customHeight="1">
      <c r="A297" s="139">
        <v>25000000</v>
      </c>
      <c r="B297" s="139"/>
      <c r="C297" s="139" t="s">
        <v>346</v>
      </c>
      <c r="D297" s="139"/>
      <c r="E297" s="139"/>
      <c r="F297" s="139"/>
      <c r="G297" s="139"/>
      <c r="H297" s="140">
        <f>H337+H338+H339+H340+H341+H342+H344+H345+H346+H347+H348</f>
        <v>20993.499000000003</v>
      </c>
      <c r="I297" s="159"/>
      <c r="J297" s="159"/>
      <c r="K297" s="27"/>
      <c r="L297" s="46">
        <f>SUM(L298:L369)</f>
        <v>54033.000474287313</v>
      </c>
      <c r="M297" s="159"/>
      <c r="N297" s="159"/>
      <c r="O297" s="27"/>
      <c r="P297" s="26">
        <f>SUM(P298:P369)</f>
        <v>-475.93385410714126</v>
      </c>
      <c r="Q297" s="160">
        <f t="shared" ref="Q297" si="171">L297+P297</f>
        <v>53557.066620180172</v>
      </c>
      <c r="R297" s="159"/>
      <c r="S297" s="159"/>
      <c r="T297" s="140">
        <f>T337+T338+T339+T340+T341+T342+T344+T345+T346+T347+T348</f>
        <v>26241.873750000002</v>
      </c>
      <c r="V297" s="42"/>
    </row>
    <row r="298" spans="1:22" hidden="1">
      <c r="A298" s="118">
        <v>25001000</v>
      </c>
      <c r="B298" s="89">
        <v>55866</v>
      </c>
      <c r="C298" s="89" t="s">
        <v>347</v>
      </c>
      <c r="D298" s="90" t="s">
        <v>102</v>
      </c>
      <c r="E298" s="91">
        <v>2.5299999999999998</v>
      </c>
      <c r="F298" s="11">
        <f>VLOOKUP(A298,'[1]CORREÇÃO DOS ITENS DIVERGENTES'!$A$13:$G$490,7)</f>
        <v>15.699382284694966</v>
      </c>
      <c r="G298" s="91">
        <f t="shared" si="167"/>
        <v>19.624227855868707</v>
      </c>
      <c r="H298" s="12">
        <f t="shared" ref="H298:H336" si="172">E298*G298</f>
        <v>49.649296475347825</v>
      </c>
      <c r="I298" s="22">
        <v>2.5299999999999998</v>
      </c>
      <c r="J298" s="11">
        <f t="shared" ref="J298:J332" si="173">F298</f>
        <v>15.699382284694966</v>
      </c>
      <c r="K298" s="10">
        <f t="shared" si="161"/>
        <v>19.99316333955904</v>
      </c>
      <c r="L298" s="12">
        <f>I298*K298</f>
        <v>50.582703249084368</v>
      </c>
      <c r="M298" s="11">
        <v>0</v>
      </c>
      <c r="N298" s="11">
        <f t="shared" ref="N298:N369" si="174">J298</f>
        <v>15.699382284694966</v>
      </c>
      <c r="O298" s="10">
        <f t="shared" si="163"/>
        <v>19.99316333955904</v>
      </c>
      <c r="P298" s="12">
        <f t="shared" ref="P298:P369" si="175">M298*O298</f>
        <v>0</v>
      </c>
      <c r="Q298" s="148"/>
      <c r="R298" s="74"/>
      <c r="S298" s="47">
        <f>F298-'[1]CORREÇÃO DOS ITENS DIVERGENTES'!$P271</f>
        <v>0</v>
      </c>
      <c r="T298" s="12">
        <f t="shared" si="166"/>
        <v>49.649296475347825</v>
      </c>
      <c r="V298" s="41"/>
    </row>
    <row r="299" spans="1:22" ht="22.5" hidden="1">
      <c r="A299" s="118">
        <v>25002000</v>
      </c>
      <c r="B299" s="89">
        <v>72334</v>
      </c>
      <c r="C299" s="89" t="s">
        <v>348</v>
      </c>
      <c r="D299" s="90" t="s">
        <v>19</v>
      </c>
      <c r="E299" s="91">
        <v>2</v>
      </c>
      <c r="F299" s="11">
        <f>VLOOKUP(A299,'[1]CORREÇÃO DOS ITENS DIVERGENTES'!$A$13:$G$490,7)</f>
        <v>7.5569907946667296</v>
      </c>
      <c r="G299" s="91">
        <f t="shared" si="167"/>
        <v>9.4462384933334125</v>
      </c>
      <c r="H299" s="12">
        <f t="shared" si="172"/>
        <v>18.892476986666825</v>
      </c>
      <c r="I299" s="22">
        <v>2</v>
      </c>
      <c r="J299" s="11">
        <f t="shared" si="173"/>
        <v>7.5569907946667296</v>
      </c>
      <c r="K299" s="10">
        <f t="shared" si="161"/>
        <v>9.6238277770080813</v>
      </c>
      <c r="L299" s="12">
        <f t="shared" ref="L299:L369" si="176">I299*K299</f>
        <v>19.247655554016163</v>
      </c>
      <c r="M299" s="11">
        <v>0</v>
      </c>
      <c r="N299" s="11">
        <f t="shared" si="174"/>
        <v>7.5569907946667296</v>
      </c>
      <c r="O299" s="10">
        <f t="shared" si="163"/>
        <v>9.6238277770080813</v>
      </c>
      <c r="P299" s="12">
        <f t="shared" si="175"/>
        <v>0</v>
      </c>
      <c r="Q299" s="148"/>
      <c r="R299" s="74"/>
      <c r="S299" s="47">
        <f>F299-'[1]CORREÇÃO DOS ITENS DIVERGENTES'!$P272</f>
        <v>0</v>
      </c>
      <c r="T299" s="12">
        <f t="shared" si="166"/>
        <v>18.892476986666825</v>
      </c>
      <c r="V299" s="41"/>
    </row>
    <row r="300" spans="1:22" hidden="1">
      <c r="A300" s="118">
        <v>25003000</v>
      </c>
      <c r="B300" s="89">
        <v>73613</v>
      </c>
      <c r="C300" s="89" t="s">
        <v>349</v>
      </c>
      <c r="D300" s="90" t="s">
        <v>102</v>
      </c>
      <c r="E300" s="91">
        <v>1429.1</v>
      </c>
      <c r="F300" s="11">
        <f>VLOOKUP(A300,'[1]CORREÇÃO DOS ITENS DIVERGENTES'!$A$13:$G$490,7)</f>
        <v>3.9470198399374352</v>
      </c>
      <c r="G300" s="91">
        <f t="shared" si="167"/>
        <v>4.9337747999217942</v>
      </c>
      <c r="H300" s="12">
        <f t="shared" si="172"/>
        <v>7050.8575665682356</v>
      </c>
      <c r="I300" s="22">
        <v>1429.1</v>
      </c>
      <c r="J300" s="11">
        <f t="shared" si="173"/>
        <v>3.9470198399374352</v>
      </c>
      <c r="K300" s="10">
        <f t="shared" si="161"/>
        <v>5.0265297661603237</v>
      </c>
      <c r="L300" s="12">
        <f t="shared" si="176"/>
        <v>7183.4136888197181</v>
      </c>
      <c r="M300" s="11">
        <v>0</v>
      </c>
      <c r="N300" s="11">
        <f t="shared" si="174"/>
        <v>3.9470198399374352</v>
      </c>
      <c r="O300" s="10">
        <f t="shared" si="163"/>
        <v>5.0265297661603237</v>
      </c>
      <c r="P300" s="12">
        <f t="shared" si="175"/>
        <v>0</v>
      </c>
      <c r="Q300" s="148"/>
      <c r="R300" s="74"/>
      <c r="S300" s="47">
        <f>F300-'[1]CORREÇÃO DOS ITENS DIVERGENTES'!$P273</f>
        <v>0</v>
      </c>
      <c r="T300" s="12">
        <f t="shared" si="166"/>
        <v>7050.8575665682356</v>
      </c>
      <c r="V300" s="41"/>
    </row>
    <row r="301" spans="1:22" hidden="1">
      <c r="A301" s="118">
        <v>25004000</v>
      </c>
      <c r="B301" s="89">
        <v>73614</v>
      </c>
      <c r="C301" s="89" t="s">
        <v>350</v>
      </c>
      <c r="D301" s="90" t="s">
        <v>102</v>
      </c>
      <c r="E301" s="91">
        <v>20.260000000000002</v>
      </c>
      <c r="F301" s="11">
        <f>VLOOKUP(A301,'[1]CORREÇÃO DOS ITENS DIVERGENTES'!$A$13:$G$490,7)</f>
        <v>3.5478830021909529</v>
      </c>
      <c r="G301" s="91">
        <f t="shared" si="167"/>
        <v>4.4348537527386913</v>
      </c>
      <c r="H301" s="12">
        <f t="shared" si="172"/>
        <v>89.850137030485897</v>
      </c>
      <c r="I301" s="22">
        <v>20.260000000000002</v>
      </c>
      <c r="J301" s="11">
        <f t="shared" si="173"/>
        <v>3.5478830021909529</v>
      </c>
      <c r="K301" s="10">
        <f t="shared" si="161"/>
        <v>4.5182290032901786</v>
      </c>
      <c r="L301" s="12">
        <f t="shared" si="176"/>
        <v>91.539319606659021</v>
      </c>
      <c r="M301" s="11">
        <v>0</v>
      </c>
      <c r="N301" s="11">
        <f t="shared" si="174"/>
        <v>3.5478830021909529</v>
      </c>
      <c r="O301" s="10">
        <f t="shared" si="163"/>
        <v>4.5182290032901786</v>
      </c>
      <c r="P301" s="12">
        <f t="shared" si="175"/>
        <v>0</v>
      </c>
      <c r="Q301" s="148"/>
      <c r="R301" s="74"/>
      <c r="S301" s="47">
        <f>F301-'[1]CORREÇÃO DOS ITENS DIVERGENTES'!$P274</f>
        <v>0</v>
      </c>
      <c r="T301" s="12">
        <f t="shared" si="166"/>
        <v>89.850137030485897</v>
      </c>
      <c r="V301" s="41"/>
    </row>
    <row r="302" spans="1:22" ht="45" hidden="1">
      <c r="A302" s="118">
        <v>25005000</v>
      </c>
      <c r="B302" s="89" t="s">
        <v>351</v>
      </c>
      <c r="C302" s="89" t="s">
        <v>352</v>
      </c>
      <c r="D302" s="90" t="s">
        <v>19</v>
      </c>
      <c r="E302" s="91">
        <v>12</v>
      </c>
      <c r="F302" s="11">
        <f>VLOOKUP(A302,'[1]CORREÇÃO DOS ITENS DIVERGENTES'!$A$13:$G$490,7)</f>
        <v>148.02654855891203</v>
      </c>
      <c r="G302" s="91">
        <f t="shared" si="167"/>
        <v>185.03318569864004</v>
      </c>
      <c r="H302" s="12">
        <f t="shared" si="172"/>
        <v>2220.3982283836804</v>
      </c>
      <c r="I302" s="22">
        <v>12</v>
      </c>
      <c r="J302" s="11">
        <f t="shared" si="173"/>
        <v>148.02654855891203</v>
      </c>
      <c r="K302" s="10">
        <f t="shared" si="161"/>
        <v>188.51180958977449</v>
      </c>
      <c r="L302" s="12">
        <f t="shared" si="176"/>
        <v>2262.1417150772941</v>
      </c>
      <c r="M302" s="11">
        <v>0</v>
      </c>
      <c r="N302" s="11">
        <f t="shared" si="174"/>
        <v>148.02654855891203</v>
      </c>
      <c r="O302" s="10">
        <f t="shared" si="163"/>
        <v>188.51180958977449</v>
      </c>
      <c r="P302" s="12">
        <f t="shared" si="175"/>
        <v>0</v>
      </c>
      <c r="Q302" s="148"/>
      <c r="R302" s="74"/>
      <c r="S302" s="47">
        <f>F302-'[1]CORREÇÃO DOS ITENS DIVERGENTES'!$P275</f>
        <v>0</v>
      </c>
      <c r="T302" s="12">
        <f t="shared" si="166"/>
        <v>2220.3982283836804</v>
      </c>
      <c r="V302" s="41"/>
    </row>
    <row r="303" spans="1:22" hidden="1">
      <c r="A303" s="118">
        <v>25006000</v>
      </c>
      <c r="B303" s="89" t="s">
        <v>353</v>
      </c>
      <c r="C303" s="89" t="s">
        <v>354</v>
      </c>
      <c r="D303" s="90" t="s">
        <v>102</v>
      </c>
      <c r="E303" s="91">
        <v>43.31</v>
      </c>
      <c r="F303" s="11">
        <f>VLOOKUP(A303,'[1]CORREÇÃO DOS ITENS DIVERGENTES'!$A$13:$G$490,7)</f>
        <v>6.8296747792175845</v>
      </c>
      <c r="G303" s="91">
        <f t="shared" si="167"/>
        <v>8.5370934740219813</v>
      </c>
      <c r="H303" s="12">
        <f t="shared" si="172"/>
        <v>369.74151835989204</v>
      </c>
      <c r="I303" s="22">
        <v>43.31</v>
      </c>
      <c r="J303" s="11">
        <f t="shared" si="173"/>
        <v>6.8296747792175845</v>
      </c>
      <c r="K303" s="10">
        <f t="shared" si="161"/>
        <v>8.6975908313335939</v>
      </c>
      <c r="L303" s="12">
        <f t="shared" si="176"/>
        <v>376.69265890505795</v>
      </c>
      <c r="M303" s="11">
        <v>0</v>
      </c>
      <c r="N303" s="11">
        <f t="shared" si="174"/>
        <v>6.8296747792175845</v>
      </c>
      <c r="O303" s="10">
        <f t="shared" si="163"/>
        <v>8.6975908313335939</v>
      </c>
      <c r="P303" s="12">
        <f t="shared" si="175"/>
        <v>0</v>
      </c>
      <c r="Q303" s="148"/>
      <c r="R303" s="74"/>
      <c r="S303" s="47">
        <f>F303-'[1]CORREÇÃO DOS ITENS DIVERGENTES'!$P276</f>
        <v>0</v>
      </c>
      <c r="T303" s="12">
        <f t="shared" si="166"/>
        <v>369.74151835989204</v>
      </c>
      <c r="V303" s="41"/>
    </row>
    <row r="304" spans="1:22" ht="22.5" hidden="1">
      <c r="A304" s="118">
        <v>25007000</v>
      </c>
      <c r="B304" s="89" t="s">
        <v>355</v>
      </c>
      <c r="C304" s="89" t="s">
        <v>356</v>
      </c>
      <c r="D304" s="90" t="s">
        <v>102</v>
      </c>
      <c r="E304" s="91">
        <v>10.67</v>
      </c>
      <c r="F304" s="11">
        <f>VLOOKUP(A304,'[1]CORREÇÃO DOS ITENS DIVERGENTES'!$A$13:$G$490,7)</f>
        <v>9.4462384933334125</v>
      </c>
      <c r="G304" s="91">
        <f t="shared" si="167"/>
        <v>11.807798116666765</v>
      </c>
      <c r="H304" s="12">
        <f t="shared" si="172"/>
        <v>125.98920590483438</v>
      </c>
      <c r="I304" s="22">
        <v>10.67</v>
      </c>
      <c r="J304" s="11">
        <f t="shared" si="173"/>
        <v>9.4462384933334125</v>
      </c>
      <c r="K304" s="10">
        <f t="shared" si="161"/>
        <v>12.029784721260102</v>
      </c>
      <c r="L304" s="12">
        <f t="shared" si="176"/>
        <v>128.35780297584529</v>
      </c>
      <c r="M304" s="11">
        <v>0</v>
      </c>
      <c r="N304" s="11">
        <f t="shared" si="174"/>
        <v>9.4462384933334125</v>
      </c>
      <c r="O304" s="10">
        <f t="shared" si="163"/>
        <v>12.029784721260102</v>
      </c>
      <c r="P304" s="12">
        <f t="shared" si="175"/>
        <v>0</v>
      </c>
      <c r="Q304" s="148"/>
      <c r="R304" s="74"/>
      <c r="S304" s="47">
        <f>F304-'[1]CORREÇÃO DOS ITENS DIVERGENTES'!$P277</f>
        <v>0</v>
      </c>
      <c r="T304" s="12">
        <f t="shared" si="166"/>
        <v>125.98920590483438</v>
      </c>
      <c r="V304" s="41"/>
    </row>
    <row r="305" spans="1:22" hidden="1">
      <c r="A305" s="118">
        <v>25008000</v>
      </c>
      <c r="B305" s="89" t="s">
        <v>357</v>
      </c>
      <c r="C305" s="89" t="s">
        <v>358</v>
      </c>
      <c r="D305" s="90" t="s">
        <v>19</v>
      </c>
      <c r="E305" s="91">
        <v>14</v>
      </c>
      <c r="F305" s="11">
        <f>VLOOKUP(A305,'[1]CORREÇÃO DOS ITENS DIVERGENTES'!$A$13:$G$490,7)</f>
        <v>52.251446914767257</v>
      </c>
      <c r="G305" s="91">
        <f t="shared" si="167"/>
        <v>65.314308643459071</v>
      </c>
      <c r="H305" s="12">
        <f t="shared" si="172"/>
        <v>914.400321008427</v>
      </c>
      <c r="I305" s="22">
        <v>14</v>
      </c>
      <c r="J305" s="11">
        <f t="shared" si="173"/>
        <v>52.251446914767257</v>
      </c>
      <c r="K305" s="10">
        <f t="shared" si="161"/>
        <v>66.5422176459561</v>
      </c>
      <c r="L305" s="12">
        <f t="shared" si="176"/>
        <v>931.5910470433854</v>
      </c>
      <c r="M305" s="11">
        <v>0</v>
      </c>
      <c r="N305" s="11">
        <f t="shared" si="174"/>
        <v>52.251446914767257</v>
      </c>
      <c r="O305" s="10">
        <f t="shared" si="163"/>
        <v>66.5422176459561</v>
      </c>
      <c r="P305" s="12">
        <f t="shared" si="175"/>
        <v>0</v>
      </c>
      <c r="Q305" s="148"/>
      <c r="R305" s="74"/>
      <c r="S305" s="47">
        <f>F305-'[1]CORREÇÃO DOS ITENS DIVERGENTES'!$P278</f>
        <v>0</v>
      </c>
      <c r="T305" s="12">
        <f t="shared" si="166"/>
        <v>914.400321008427</v>
      </c>
      <c r="V305" s="41"/>
    </row>
    <row r="306" spans="1:22" ht="22.5" hidden="1">
      <c r="A306" s="118">
        <v>25009000</v>
      </c>
      <c r="B306" s="89" t="s">
        <v>359</v>
      </c>
      <c r="C306" s="89" t="s">
        <v>360</v>
      </c>
      <c r="D306" s="90" t="s">
        <v>19</v>
      </c>
      <c r="E306" s="91">
        <v>1</v>
      </c>
      <c r="F306" s="11">
        <f>VLOOKUP(A306,'[1]CORREÇÃO DOS ITENS DIVERGENTES'!$A$13:$G$490,7)</f>
        <v>9.5792841059155727</v>
      </c>
      <c r="G306" s="91">
        <f t="shared" si="167"/>
        <v>11.974105132394467</v>
      </c>
      <c r="H306" s="12">
        <f t="shared" si="172"/>
        <v>11.974105132394467</v>
      </c>
      <c r="I306" s="22">
        <v>1</v>
      </c>
      <c r="J306" s="11">
        <f t="shared" si="173"/>
        <v>9.5792841059155727</v>
      </c>
      <c r="K306" s="10">
        <f t="shared" si="161"/>
        <v>12.199218308883482</v>
      </c>
      <c r="L306" s="12">
        <f t="shared" si="176"/>
        <v>12.199218308883482</v>
      </c>
      <c r="M306" s="11">
        <v>0</v>
      </c>
      <c r="N306" s="11">
        <f t="shared" si="174"/>
        <v>9.5792841059155727</v>
      </c>
      <c r="O306" s="10">
        <f t="shared" si="163"/>
        <v>12.199218308883482</v>
      </c>
      <c r="P306" s="12">
        <f t="shared" si="175"/>
        <v>0</v>
      </c>
      <c r="Q306" s="148"/>
      <c r="R306" s="74"/>
      <c r="S306" s="47">
        <f>F306-'[1]CORREÇÃO DOS ITENS DIVERGENTES'!$P279</f>
        <v>0</v>
      </c>
      <c r="T306" s="12">
        <f t="shared" si="166"/>
        <v>11.974105132394467</v>
      </c>
      <c r="V306" s="41"/>
    </row>
    <row r="307" spans="1:22" ht="22.5" hidden="1">
      <c r="A307" s="118">
        <v>25010000</v>
      </c>
      <c r="B307" s="89" t="s">
        <v>361</v>
      </c>
      <c r="C307" s="89" t="s">
        <v>362</v>
      </c>
      <c r="D307" s="90" t="s">
        <v>19</v>
      </c>
      <c r="E307" s="91">
        <v>1</v>
      </c>
      <c r="F307" s="11">
        <f>VLOOKUP(A307,'[1]CORREÇÃO DOS ITENS DIVERGENTES'!$A$13:$G$490,7)</f>
        <v>9.5792841059155727</v>
      </c>
      <c r="G307" s="91">
        <f t="shared" si="167"/>
        <v>11.974105132394467</v>
      </c>
      <c r="H307" s="12">
        <f t="shared" si="172"/>
        <v>11.974105132394467</v>
      </c>
      <c r="I307" s="22">
        <v>1</v>
      </c>
      <c r="J307" s="11">
        <f t="shared" si="173"/>
        <v>9.5792841059155727</v>
      </c>
      <c r="K307" s="10">
        <f t="shared" si="161"/>
        <v>12.199218308883482</v>
      </c>
      <c r="L307" s="12">
        <f t="shared" si="176"/>
        <v>12.199218308883482</v>
      </c>
      <c r="M307" s="11">
        <v>0</v>
      </c>
      <c r="N307" s="11">
        <f t="shared" si="174"/>
        <v>9.5792841059155727</v>
      </c>
      <c r="O307" s="10">
        <f t="shared" si="163"/>
        <v>12.199218308883482</v>
      </c>
      <c r="P307" s="12">
        <f t="shared" si="175"/>
        <v>0</v>
      </c>
      <c r="Q307" s="148"/>
      <c r="R307" s="74"/>
      <c r="S307" s="47">
        <f>F307-'[1]CORREÇÃO DOS ITENS DIVERGENTES'!$P280</f>
        <v>0</v>
      </c>
      <c r="T307" s="12">
        <f t="shared" si="166"/>
        <v>11.974105132394467</v>
      </c>
      <c r="V307" s="41"/>
    </row>
    <row r="308" spans="1:22" ht="22.5" hidden="1">
      <c r="A308" s="118">
        <v>25011000</v>
      </c>
      <c r="B308" s="89" t="s">
        <v>363</v>
      </c>
      <c r="C308" s="89" t="s">
        <v>364</v>
      </c>
      <c r="D308" s="90" t="s">
        <v>19</v>
      </c>
      <c r="E308" s="91">
        <v>4</v>
      </c>
      <c r="F308" s="11">
        <f>VLOOKUP(A308,'[1]CORREÇÃO DOS ITENS DIVERGENTES'!$A$13:$G$490,7)</f>
        <v>15.149460419355368</v>
      </c>
      <c r="G308" s="91">
        <f t="shared" si="167"/>
        <v>18.936825524194209</v>
      </c>
      <c r="H308" s="12">
        <f t="shared" si="172"/>
        <v>75.747302096776835</v>
      </c>
      <c r="I308" s="22">
        <v>4</v>
      </c>
      <c r="J308" s="11">
        <f t="shared" si="173"/>
        <v>15.149460419355368</v>
      </c>
      <c r="K308" s="10">
        <f t="shared" si="161"/>
        <v>19.29283784404906</v>
      </c>
      <c r="L308" s="12">
        <f t="shared" si="176"/>
        <v>77.171351376196242</v>
      </c>
      <c r="M308" s="11">
        <v>0</v>
      </c>
      <c r="N308" s="11">
        <f t="shared" si="174"/>
        <v>15.149460419355368</v>
      </c>
      <c r="O308" s="10">
        <f t="shared" si="163"/>
        <v>19.29283784404906</v>
      </c>
      <c r="P308" s="12">
        <f t="shared" si="175"/>
        <v>0</v>
      </c>
      <c r="Q308" s="148"/>
      <c r="R308" s="74"/>
      <c r="S308" s="47">
        <f>F308-'[1]CORREÇÃO DOS ITENS DIVERGENTES'!$P281</f>
        <v>0</v>
      </c>
      <c r="T308" s="12">
        <f t="shared" si="166"/>
        <v>75.747302096776835</v>
      </c>
      <c r="V308" s="41"/>
    </row>
    <row r="309" spans="1:22" hidden="1">
      <c r="A309" s="118">
        <v>25012000</v>
      </c>
      <c r="B309" s="89" t="s">
        <v>365</v>
      </c>
      <c r="C309" s="89" t="s">
        <v>366</v>
      </c>
      <c r="D309" s="90" t="s">
        <v>102</v>
      </c>
      <c r="E309" s="91">
        <v>14.98</v>
      </c>
      <c r="F309" s="11">
        <f>VLOOKUP(A309,'[1]CORREÇÃO DOS ITENS DIVERGENTES'!$A$13:$G$490,7)</f>
        <v>12.97638208051341</v>
      </c>
      <c r="G309" s="91">
        <f t="shared" si="167"/>
        <v>16.220477600641765</v>
      </c>
      <c r="H309" s="12">
        <f t="shared" si="172"/>
        <v>242.98275445761365</v>
      </c>
      <c r="I309" s="22">
        <f>14.98+M309</f>
        <v>75</v>
      </c>
      <c r="J309" s="11">
        <f t="shared" si="173"/>
        <v>12.97638208051341</v>
      </c>
      <c r="K309" s="10">
        <f t="shared" si="161"/>
        <v>16.525422579533828</v>
      </c>
      <c r="L309" s="12">
        <f t="shared" si="176"/>
        <v>1239.4066934650371</v>
      </c>
      <c r="M309" s="11">
        <f>75-14.98</f>
        <v>60.019999999999996</v>
      </c>
      <c r="N309" s="11">
        <f t="shared" si="174"/>
        <v>12.97638208051341</v>
      </c>
      <c r="O309" s="10">
        <f t="shared" si="163"/>
        <v>16.525422579533828</v>
      </c>
      <c r="P309" s="12">
        <f t="shared" si="175"/>
        <v>991.8558632236203</v>
      </c>
      <c r="Q309" s="148"/>
      <c r="R309" s="74"/>
      <c r="S309" s="47">
        <f>F309-'[1]CORREÇÃO DOS ITENS DIVERGENTES'!$P282</f>
        <v>0</v>
      </c>
      <c r="T309" s="12">
        <f t="shared" si="166"/>
        <v>242.98275445761365</v>
      </c>
      <c r="V309" s="41"/>
    </row>
    <row r="310" spans="1:22" ht="22.5" hidden="1">
      <c r="A310" s="118">
        <v>25013000</v>
      </c>
      <c r="B310" s="89" t="s">
        <v>367</v>
      </c>
      <c r="C310" s="89" t="s">
        <v>368</v>
      </c>
      <c r="D310" s="90" t="s">
        <v>19</v>
      </c>
      <c r="E310" s="91">
        <v>457</v>
      </c>
      <c r="F310" s="11">
        <f>VLOOKUP(A310,'[1]CORREÇÃO DOS ITENS DIVERGENTES'!$A$13:$G$490,7)</f>
        <v>3.858322764882661</v>
      </c>
      <c r="G310" s="91">
        <f t="shared" si="167"/>
        <v>4.8229034561033259</v>
      </c>
      <c r="H310" s="12">
        <f t="shared" si="172"/>
        <v>2204.06687943922</v>
      </c>
      <c r="I310" s="22">
        <v>457</v>
      </c>
      <c r="J310" s="11">
        <f t="shared" si="173"/>
        <v>3.858322764882661</v>
      </c>
      <c r="K310" s="10">
        <f t="shared" si="161"/>
        <v>4.9135740410780695</v>
      </c>
      <c r="L310" s="12">
        <f t="shared" si="176"/>
        <v>2245.5033367726778</v>
      </c>
      <c r="M310" s="11">
        <v>0</v>
      </c>
      <c r="N310" s="11">
        <f t="shared" si="174"/>
        <v>3.858322764882661</v>
      </c>
      <c r="O310" s="10">
        <f t="shared" si="163"/>
        <v>4.9135740410780695</v>
      </c>
      <c r="P310" s="12">
        <f t="shared" si="175"/>
        <v>0</v>
      </c>
      <c r="Q310" s="148"/>
      <c r="R310" s="74"/>
      <c r="S310" s="47">
        <f>F310-'[1]CORREÇÃO DOS ITENS DIVERGENTES'!$P283</f>
        <v>0</v>
      </c>
      <c r="T310" s="12">
        <f t="shared" si="166"/>
        <v>2204.06687943922</v>
      </c>
      <c r="V310" s="41"/>
    </row>
    <row r="311" spans="1:22" hidden="1">
      <c r="A311" s="118">
        <v>25014000</v>
      </c>
      <c r="B311" s="89" t="s">
        <v>369</v>
      </c>
      <c r="C311" s="89" t="s">
        <v>370</v>
      </c>
      <c r="D311" s="90" t="s">
        <v>19</v>
      </c>
      <c r="E311" s="91">
        <v>6</v>
      </c>
      <c r="F311" s="11">
        <f>VLOOKUP(A311,'[1]CORREÇÃO DOS ITENS DIVERGENTES'!$A$13:$G$490,7)</f>
        <v>3.086658211906129</v>
      </c>
      <c r="G311" s="91">
        <f t="shared" si="167"/>
        <v>3.8583227648826615</v>
      </c>
      <c r="H311" s="12">
        <f t="shared" si="172"/>
        <v>23.149936589295969</v>
      </c>
      <c r="I311" s="22">
        <f>6+M311</f>
        <v>8</v>
      </c>
      <c r="J311" s="11">
        <f t="shared" si="173"/>
        <v>3.086658211906129</v>
      </c>
      <c r="K311" s="10">
        <f t="shared" si="161"/>
        <v>3.9308592328624554</v>
      </c>
      <c r="L311" s="12">
        <f t="shared" si="176"/>
        <v>31.446873862899643</v>
      </c>
      <c r="M311" s="11">
        <f>8-6</f>
        <v>2</v>
      </c>
      <c r="N311" s="11">
        <f t="shared" si="174"/>
        <v>3.086658211906129</v>
      </c>
      <c r="O311" s="10">
        <f t="shared" si="163"/>
        <v>3.9308592328624554</v>
      </c>
      <c r="P311" s="12">
        <f t="shared" si="175"/>
        <v>7.8617184657249108</v>
      </c>
      <c r="Q311" s="148"/>
      <c r="R311" s="74"/>
      <c r="S311" s="47">
        <f>F311-'[1]CORREÇÃO DOS ITENS DIVERGENTES'!$P284</f>
        <v>0</v>
      </c>
      <c r="T311" s="12">
        <f t="shared" si="166"/>
        <v>23.149936589295969</v>
      </c>
      <c r="V311" s="41"/>
    </row>
    <row r="312" spans="1:22" hidden="1">
      <c r="A312" s="118">
        <v>25015000</v>
      </c>
      <c r="B312" s="89" t="s">
        <v>371</v>
      </c>
      <c r="C312" s="89" t="s">
        <v>372</v>
      </c>
      <c r="D312" s="90" t="s">
        <v>19</v>
      </c>
      <c r="E312" s="91">
        <v>2</v>
      </c>
      <c r="F312" s="11">
        <f>VLOOKUP(A312,'[1]CORREÇÃO DOS ITENS DIVERGENTES'!$A$13:$G$490,7)</f>
        <v>8.6923133553678351</v>
      </c>
      <c r="G312" s="91">
        <f t="shared" si="167"/>
        <v>10.865391694209794</v>
      </c>
      <c r="H312" s="12">
        <f t="shared" si="172"/>
        <v>21.730783388419589</v>
      </c>
      <c r="I312" s="22">
        <f>2+M312</f>
        <v>7</v>
      </c>
      <c r="J312" s="11">
        <f t="shared" si="173"/>
        <v>8.6923133553678351</v>
      </c>
      <c r="K312" s="10">
        <f t="shared" si="161"/>
        <v>11.069661058060939</v>
      </c>
      <c r="L312" s="12">
        <f t="shared" si="176"/>
        <v>77.487627406426569</v>
      </c>
      <c r="M312" s="11">
        <f>7-2</f>
        <v>5</v>
      </c>
      <c r="N312" s="11">
        <f t="shared" si="174"/>
        <v>8.6923133553678351</v>
      </c>
      <c r="O312" s="10">
        <f t="shared" si="163"/>
        <v>11.069661058060939</v>
      </c>
      <c r="P312" s="12">
        <f t="shared" si="175"/>
        <v>55.348305290304694</v>
      </c>
      <c r="Q312" s="148"/>
      <c r="R312" s="74"/>
      <c r="S312" s="47">
        <f>F312-'[1]CORREÇÃO DOS ITENS DIVERGENTES'!$P285</f>
        <v>0</v>
      </c>
      <c r="T312" s="12">
        <f t="shared" si="166"/>
        <v>21.730783388419589</v>
      </c>
      <c r="V312" s="41"/>
    </row>
    <row r="313" spans="1:22" hidden="1">
      <c r="A313" s="118">
        <v>25016000</v>
      </c>
      <c r="B313" s="89" t="s">
        <v>373</v>
      </c>
      <c r="C313" s="89" t="s">
        <v>374</v>
      </c>
      <c r="D313" s="90" t="s">
        <v>19</v>
      </c>
      <c r="E313" s="91">
        <v>6</v>
      </c>
      <c r="F313" s="11">
        <f>VLOOKUP(A313,'[1]CORREÇÃO DOS ITENS DIVERGENTES'!$A$13:$G$490,7)</f>
        <v>3.086658211906129</v>
      </c>
      <c r="G313" s="91">
        <f t="shared" si="167"/>
        <v>3.8583227648826615</v>
      </c>
      <c r="H313" s="12">
        <f t="shared" si="172"/>
        <v>23.149936589295969</v>
      </c>
      <c r="I313" s="22">
        <v>0</v>
      </c>
      <c r="J313" s="11">
        <f t="shared" si="173"/>
        <v>3.086658211906129</v>
      </c>
      <c r="K313" s="10">
        <f t="shared" si="161"/>
        <v>3.9308592328624554</v>
      </c>
      <c r="L313" s="12">
        <f t="shared" si="176"/>
        <v>0</v>
      </c>
      <c r="M313" s="11">
        <f>I313-E313</f>
        <v>-6</v>
      </c>
      <c r="N313" s="11">
        <f t="shared" si="174"/>
        <v>3.086658211906129</v>
      </c>
      <c r="O313" s="10">
        <f t="shared" si="163"/>
        <v>3.9308592328624554</v>
      </c>
      <c r="P313" s="12">
        <f t="shared" si="175"/>
        <v>-23.585155397174731</v>
      </c>
      <c r="Q313" s="148"/>
      <c r="R313" s="74"/>
      <c r="S313" s="47">
        <f>F313-'[1]CORREÇÃO DOS ITENS DIVERGENTES'!$P286</f>
        <v>0</v>
      </c>
      <c r="T313" s="12">
        <f t="shared" si="166"/>
        <v>23.149936589295969</v>
      </c>
      <c r="V313" s="41"/>
    </row>
    <row r="314" spans="1:22" ht="22.5" hidden="1">
      <c r="A314" s="118">
        <v>25017000</v>
      </c>
      <c r="B314" s="89" t="s">
        <v>375</v>
      </c>
      <c r="C314" s="89" t="s">
        <v>376</v>
      </c>
      <c r="D314" s="90" t="s">
        <v>19</v>
      </c>
      <c r="E314" s="91">
        <v>10</v>
      </c>
      <c r="F314" s="11">
        <f>VLOOKUP(A314,'[1]CORREÇÃO DOS ITENS DIVERGENTES'!$A$13:$G$490,7)</f>
        <v>6.1023587637684384</v>
      </c>
      <c r="G314" s="91">
        <f t="shared" si="167"/>
        <v>7.6279484547105483</v>
      </c>
      <c r="H314" s="12">
        <f t="shared" si="172"/>
        <v>76.279484547105483</v>
      </c>
      <c r="I314" s="22">
        <f>10+M314</f>
        <v>11</v>
      </c>
      <c r="J314" s="11">
        <f t="shared" si="173"/>
        <v>6.1023587637684384</v>
      </c>
      <c r="K314" s="10">
        <f t="shared" si="161"/>
        <v>7.7713538856591065</v>
      </c>
      <c r="L314" s="12">
        <f t="shared" si="176"/>
        <v>85.484892742250167</v>
      </c>
      <c r="M314" s="11">
        <f>11-10</f>
        <v>1</v>
      </c>
      <c r="N314" s="11">
        <f t="shared" si="174"/>
        <v>6.1023587637684384</v>
      </c>
      <c r="O314" s="10">
        <f t="shared" si="163"/>
        <v>7.7713538856591065</v>
      </c>
      <c r="P314" s="12">
        <f t="shared" si="175"/>
        <v>7.7713538856591065</v>
      </c>
      <c r="Q314" s="148"/>
      <c r="R314" s="74"/>
      <c r="S314" s="47">
        <f>F314-'[1]CORREÇÃO DOS ITENS DIVERGENTES'!$P287</f>
        <v>0</v>
      </c>
      <c r="T314" s="12">
        <f t="shared" si="166"/>
        <v>76.279484547105483</v>
      </c>
      <c r="V314" s="41"/>
    </row>
    <row r="315" spans="1:22" ht="22.5" hidden="1">
      <c r="A315" s="118">
        <v>25018000</v>
      </c>
      <c r="B315" s="89" t="s">
        <v>377</v>
      </c>
      <c r="C315" s="89" t="s">
        <v>378</v>
      </c>
      <c r="D315" s="90" t="s">
        <v>19</v>
      </c>
      <c r="E315" s="91">
        <v>3</v>
      </c>
      <c r="F315" s="11">
        <f>VLOOKUP(A315,'[1]CORREÇÃO DOS ITENS DIVERGENTES'!$A$13:$G$490,7)</f>
        <v>8.2754371026103968</v>
      </c>
      <c r="G315" s="91">
        <f t="shared" si="167"/>
        <v>10.344296378262996</v>
      </c>
      <c r="H315" s="12">
        <f t="shared" si="172"/>
        <v>31.032889134788988</v>
      </c>
      <c r="I315" s="22">
        <f>3+M315</f>
        <v>5</v>
      </c>
      <c r="J315" s="11">
        <f t="shared" si="173"/>
        <v>8.2754371026103968</v>
      </c>
      <c r="K315" s="10">
        <f t="shared" si="161"/>
        <v>10.538769150174341</v>
      </c>
      <c r="L315" s="12">
        <f t="shared" si="176"/>
        <v>52.693845750871702</v>
      </c>
      <c r="M315" s="11">
        <f>5-3</f>
        <v>2</v>
      </c>
      <c r="N315" s="11">
        <f t="shared" si="174"/>
        <v>8.2754371026103968</v>
      </c>
      <c r="O315" s="10">
        <f t="shared" si="163"/>
        <v>10.538769150174341</v>
      </c>
      <c r="P315" s="12">
        <f t="shared" si="175"/>
        <v>21.077538300348682</v>
      </c>
      <c r="Q315" s="148"/>
      <c r="R315" s="74"/>
      <c r="S315" s="47">
        <f>F315-'[1]CORREÇÃO DOS ITENS DIVERGENTES'!$P288</f>
        <v>0</v>
      </c>
      <c r="T315" s="12">
        <f t="shared" si="166"/>
        <v>31.032889134788988</v>
      </c>
      <c r="V315" s="41"/>
    </row>
    <row r="316" spans="1:22" ht="22.5" hidden="1">
      <c r="A316" s="118">
        <v>25019000</v>
      </c>
      <c r="B316" s="89" t="s">
        <v>379</v>
      </c>
      <c r="C316" s="89" t="s">
        <v>380</v>
      </c>
      <c r="D316" s="90" t="s">
        <v>19</v>
      </c>
      <c r="E316" s="91">
        <v>4</v>
      </c>
      <c r="F316" s="11">
        <f>VLOOKUP(A316,'[1]CORREÇÃO DOS ITENS DIVERGENTES'!$A$13:$G$490,7)</f>
        <v>15.947734094848334</v>
      </c>
      <c r="G316" s="91">
        <f t="shared" si="167"/>
        <v>19.934667618560418</v>
      </c>
      <c r="H316" s="12">
        <f t="shared" si="172"/>
        <v>79.738670474241673</v>
      </c>
      <c r="I316" s="22">
        <v>3</v>
      </c>
      <c r="J316" s="11">
        <f t="shared" si="173"/>
        <v>15.947734094848334</v>
      </c>
      <c r="K316" s="10">
        <f t="shared" si="161"/>
        <v>20.309439369789356</v>
      </c>
      <c r="L316" s="12">
        <f t="shared" si="176"/>
        <v>60.928318109368064</v>
      </c>
      <c r="M316" s="11">
        <f>I316-E316</f>
        <v>-1</v>
      </c>
      <c r="N316" s="11">
        <f t="shared" si="174"/>
        <v>15.947734094848334</v>
      </c>
      <c r="O316" s="10">
        <f t="shared" si="163"/>
        <v>20.309439369789356</v>
      </c>
      <c r="P316" s="12">
        <f t="shared" si="175"/>
        <v>-20.309439369789356</v>
      </c>
      <c r="Q316" s="148"/>
      <c r="R316" s="74"/>
      <c r="S316" s="47">
        <f>F316-'[1]CORREÇÃO DOS ITENS DIVERGENTES'!$P289</f>
        <v>0</v>
      </c>
      <c r="T316" s="12">
        <f t="shared" si="166"/>
        <v>79.738670474241673</v>
      </c>
      <c r="V316" s="41"/>
    </row>
    <row r="317" spans="1:22" hidden="1">
      <c r="A317" s="118">
        <v>25020000</v>
      </c>
      <c r="B317" s="89" t="s">
        <v>381</v>
      </c>
      <c r="C317" s="89" t="s">
        <v>382</v>
      </c>
      <c r="D317" s="90" t="s">
        <v>19</v>
      </c>
      <c r="E317" s="91">
        <v>914</v>
      </c>
      <c r="F317" s="11">
        <f>VLOOKUP(A317,'[1]CORREÇÃO DOS ITENS DIVERGENTES'!$A$13:$G$490,7)</f>
        <v>1.6675050110297478</v>
      </c>
      <c r="G317" s="91">
        <f t="shared" si="167"/>
        <v>2.0843812637871846</v>
      </c>
      <c r="H317" s="12">
        <f t="shared" si="172"/>
        <v>1905.1244751014867</v>
      </c>
      <c r="I317" s="22">
        <v>914</v>
      </c>
      <c r="J317" s="11">
        <f t="shared" si="173"/>
        <v>1.6675050110297478</v>
      </c>
      <c r="K317" s="10">
        <f t="shared" si="161"/>
        <v>2.1235676315463841</v>
      </c>
      <c r="L317" s="12">
        <f t="shared" si="176"/>
        <v>1940.9408152333951</v>
      </c>
      <c r="M317" s="11">
        <v>0</v>
      </c>
      <c r="N317" s="11">
        <f t="shared" si="174"/>
        <v>1.6675050110297478</v>
      </c>
      <c r="O317" s="10">
        <f t="shared" si="163"/>
        <v>2.1235676315463841</v>
      </c>
      <c r="P317" s="12">
        <f t="shared" si="175"/>
        <v>0</v>
      </c>
      <c r="Q317" s="148"/>
      <c r="R317" s="74"/>
      <c r="S317" s="47">
        <f>F317-'[1]CORREÇÃO DOS ITENS DIVERGENTES'!$P290</f>
        <v>0</v>
      </c>
      <c r="T317" s="12">
        <f t="shared" si="166"/>
        <v>1905.1244751014867</v>
      </c>
      <c r="V317" s="41"/>
    </row>
    <row r="318" spans="1:22" hidden="1">
      <c r="A318" s="118">
        <v>25021000</v>
      </c>
      <c r="B318" s="89" t="s">
        <v>383</v>
      </c>
      <c r="C318" s="89" t="s">
        <v>384</v>
      </c>
      <c r="D318" s="90" t="s">
        <v>19</v>
      </c>
      <c r="E318" s="91">
        <v>12</v>
      </c>
      <c r="F318" s="11">
        <f>VLOOKUP(A318,'[1]CORREÇÃO DOS ITENS DIVERGENTES'!$A$13:$G$490,7)</f>
        <v>2.2795148289076872</v>
      </c>
      <c r="G318" s="91">
        <f t="shared" si="167"/>
        <v>2.8493935361346088</v>
      </c>
      <c r="H318" s="12">
        <f t="shared" si="172"/>
        <v>34.192722433615302</v>
      </c>
      <c r="I318" s="22">
        <v>12</v>
      </c>
      <c r="J318" s="11">
        <f t="shared" si="173"/>
        <v>2.2795148289076872</v>
      </c>
      <c r="K318" s="10">
        <f t="shared" si="161"/>
        <v>2.90296213461394</v>
      </c>
      <c r="L318" s="12">
        <f t="shared" si="176"/>
        <v>34.83554561536728</v>
      </c>
      <c r="M318" s="11">
        <v>0</v>
      </c>
      <c r="N318" s="11">
        <f t="shared" si="174"/>
        <v>2.2795148289076872</v>
      </c>
      <c r="O318" s="10">
        <f t="shared" si="163"/>
        <v>2.90296213461394</v>
      </c>
      <c r="P318" s="12">
        <f t="shared" si="175"/>
        <v>0</v>
      </c>
      <c r="Q318" s="148"/>
      <c r="R318" s="74"/>
      <c r="S318" s="47">
        <f>F318-'[1]CORREÇÃO DOS ITENS DIVERGENTES'!$P291</f>
        <v>0</v>
      </c>
      <c r="T318" s="12">
        <f t="shared" si="166"/>
        <v>34.192722433615302</v>
      </c>
      <c r="V318" s="41"/>
    </row>
    <row r="319" spans="1:22" hidden="1">
      <c r="A319" s="118">
        <v>25022000</v>
      </c>
      <c r="B319" s="89" t="s">
        <v>385</v>
      </c>
      <c r="C319" s="89" t="s">
        <v>386</v>
      </c>
      <c r="D319" s="90" t="s">
        <v>19</v>
      </c>
      <c r="E319" s="91">
        <v>4</v>
      </c>
      <c r="F319" s="11">
        <f>VLOOKUP(A319,'[1]CORREÇÃO DOS ITENS DIVERGENTES'!$A$13:$G$490,7)</f>
        <v>4.5856387803318066</v>
      </c>
      <c r="G319" s="91">
        <f t="shared" si="167"/>
        <v>5.732048475414758</v>
      </c>
      <c r="H319" s="12">
        <f t="shared" si="172"/>
        <v>22.928193901659032</v>
      </c>
      <c r="I319" s="22">
        <f>4+M319</f>
        <v>33</v>
      </c>
      <c r="J319" s="11">
        <f t="shared" si="173"/>
        <v>4.5856387803318066</v>
      </c>
      <c r="K319" s="10">
        <f t="shared" si="161"/>
        <v>5.8398109867525561</v>
      </c>
      <c r="L319" s="12">
        <f t="shared" si="176"/>
        <v>192.71376256283435</v>
      </c>
      <c r="M319" s="11">
        <f>33-4</f>
        <v>29</v>
      </c>
      <c r="N319" s="11">
        <f t="shared" si="174"/>
        <v>4.5856387803318066</v>
      </c>
      <c r="O319" s="10">
        <f t="shared" si="163"/>
        <v>5.8398109867525561</v>
      </c>
      <c r="P319" s="12">
        <f t="shared" si="175"/>
        <v>169.35451861582413</v>
      </c>
      <c r="Q319" s="148"/>
      <c r="R319" s="74"/>
      <c r="S319" s="47">
        <f>F319-'[1]CORREÇÃO DOS ITENS DIVERGENTES'!$P292</f>
        <v>0</v>
      </c>
      <c r="T319" s="12">
        <f t="shared" si="166"/>
        <v>22.928193901659032</v>
      </c>
      <c r="V319" s="41"/>
    </row>
    <row r="320" spans="1:22" hidden="1">
      <c r="A320" s="118">
        <v>25023000</v>
      </c>
      <c r="B320" s="89" t="s">
        <v>387</v>
      </c>
      <c r="C320" s="89" t="s">
        <v>388</v>
      </c>
      <c r="D320" s="90" t="s">
        <v>19</v>
      </c>
      <c r="E320" s="91">
        <v>12</v>
      </c>
      <c r="F320" s="11">
        <f>VLOOKUP(A320,'[1]CORREÇÃO DOS ITENS DIVERGENTES'!$A$13:$G$490,7)</f>
        <v>1.2506287582723108</v>
      </c>
      <c r="G320" s="91">
        <f t="shared" si="167"/>
        <v>1.5632859478403884</v>
      </c>
      <c r="H320" s="12">
        <f t="shared" si="172"/>
        <v>18.759431374084663</v>
      </c>
      <c r="I320" s="22">
        <v>0</v>
      </c>
      <c r="J320" s="11">
        <f t="shared" si="173"/>
        <v>1.2506287582723108</v>
      </c>
      <c r="K320" s="10">
        <f t="shared" si="161"/>
        <v>1.5926757236597879</v>
      </c>
      <c r="L320" s="12">
        <f t="shared" si="176"/>
        <v>0</v>
      </c>
      <c r="M320" s="11">
        <f>I320-E320</f>
        <v>-12</v>
      </c>
      <c r="N320" s="11">
        <f t="shared" si="174"/>
        <v>1.2506287582723108</v>
      </c>
      <c r="O320" s="10">
        <f t="shared" si="163"/>
        <v>1.5926757236597879</v>
      </c>
      <c r="P320" s="12">
        <f t="shared" si="175"/>
        <v>-19.112108683917455</v>
      </c>
      <c r="Q320" s="148"/>
      <c r="R320" s="74"/>
      <c r="S320" s="47">
        <f>F320-'[1]CORREÇÃO DOS ITENS DIVERGENTES'!$P293</f>
        <v>0</v>
      </c>
      <c r="T320" s="12">
        <f t="shared" si="166"/>
        <v>18.759431374084663</v>
      </c>
      <c r="V320" s="41"/>
    </row>
    <row r="321" spans="1:22" ht="22.5" hidden="1">
      <c r="A321" s="118">
        <v>25024000</v>
      </c>
      <c r="B321" s="89" t="s">
        <v>389</v>
      </c>
      <c r="C321" s="89" t="s">
        <v>390</v>
      </c>
      <c r="D321" s="90" t="s">
        <v>19</v>
      </c>
      <c r="E321" s="91">
        <v>1</v>
      </c>
      <c r="F321" s="11">
        <f>VLOOKUP(A321,'[1]CORREÇÃO DOS ITENS DIVERGENTES'!$A$13:$G$490,7)</f>
        <v>6.1289678862848715</v>
      </c>
      <c r="G321" s="91">
        <f t="shared" si="167"/>
        <v>7.6612098578560897</v>
      </c>
      <c r="H321" s="12">
        <f t="shared" si="172"/>
        <v>7.6612098578560897</v>
      </c>
      <c r="I321" s="22">
        <v>0</v>
      </c>
      <c r="J321" s="11">
        <f t="shared" si="173"/>
        <v>6.1289678862848715</v>
      </c>
      <c r="K321" s="10">
        <f t="shared" si="161"/>
        <v>7.8052406031837842</v>
      </c>
      <c r="L321" s="12">
        <f t="shared" si="176"/>
        <v>0</v>
      </c>
      <c r="M321" s="11">
        <f>I321-E321</f>
        <v>-1</v>
      </c>
      <c r="N321" s="11">
        <f t="shared" si="174"/>
        <v>6.1289678862848715</v>
      </c>
      <c r="O321" s="10">
        <f t="shared" si="163"/>
        <v>7.8052406031837842</v>
      </c>
      <c r="P321" s="12">
        <f t="shared" si="175"/>
        <v>-7.8052406031837842</v>
      </c>
      <c r="Q321" s="148"/>
      <c r="R321" s="74"/>
      <c r="S321" s="47">
        <f>F321-'[1]CORREÇÃO DOS ITENS DIVERGENTES'!$P294</f>
        <v>0</v>
      </c>
      <c r="T321" s="12">
        <f t="shared" si="166"/>
        <v>7.6612098578560897</v>
      </c>
      <c r="V321" s="41"/>
    </row>
    <row r="322" spans="1:22" ht="22.5" hidden="1">
      <c r="A322" s="118">
        <v>25025000</v>
      </c>
      <c r="B322" s="89" t="s">
        <v>391</v>
      </c>
      <c r="C322" s="89" t="s">
        <v>392</v>
      </c>
      <c r="D322" s="90" t="s">
        <v>19</v>
      </c>
      <c r="E322" s="91">
        <v>125</v>
      </c>
      <c r="F322" s="11">
        <f>VLOOKUP(A322,'[1]CORREÇÃO DOS ITENS DIVERGENTES'!$A$13:$G$490,7)</f>
        <v>5.5524368984288408</v>
      </c>
      <c r="G322" s="91">
        <f t="shared" si="167"/>
        <v>6.940546123036051</v>
      </c>
      <c r="H322" s="12">
        <f t="shared" si="172"/>
        <v>867.56826537950633</v>
      </c>
      <c r="I322" s="22">
        <f>125+M322</f>
        <v>140</v>
      </c>
      <c r="J322" s="11">
        <f t="shared" si="173"/>
        <v>5.5524368984288408</v>
      </c>
      <c r="K322" s="10">
        <f t="shared" si="161"/>
        <v>7.0710283901491291</v>
      </c>
      <c r="L322" s="12">
        <f t="shared" si="176"/>
        <v>989.94397462087807</v>
      </c>
      <c r="M322" s="11">
        <f>140-125</f>
        <v>15</v>
      </c>
      <c r="N322" s="11">
        <f t="shared" si="174"/>
        <v>5.5524368984288408</v>
      </c>
      <c r="O322" s="10">
        <f t="shared" si="163"/>
        <v>7.0710283901491291</v>
      </c>
      <c r="P322" s="12">
        <f t="shared" si="175"/>
        <v>106.06542585223694</v>
      </c>
      <c r="Q322" s="148"/>
      <c r="R322" s="74"/>
      <c r="S322" s="47">
        <f>F322-'[1]CORREÇÃO DOS ITENS DIVERGENTES'!$P295</f>
        <v>0</v>
      </c>
      <c r="T322" s="12">
        <f t="shared" si="166"/>
        <v>867.56826537950633</v>
      </c>
      <c r="V322" s="41"/>
    </row>
    <row r="323" spans="1:22" ht="22.5" hidden="1">
      <c r="A323" s="118">
        <v>25026000</v>
      </c>
      <c r="B323" s="89" t="s">
        <v>393</v>
      </c>
      <c r="C323" s="89" t="s">
        <v>394</v>
      </c>
      <c r="D323" s="90" t="s">
        <v>102</v>
      </c>
      <c r="E323" s="91">
        <v>91.45</v>
      </c>
      <c r="F323" s="11">
        <f>VLOOKUP(A323,'[1]CORREÇÃO DOS ITENS DIVERGENTES'!$A$13:$G$490,7)</f>
        <v>9.2954534657402963</v>
      </c>
      <c r="G323" s="91">
        <f t="shared" si="167"/>
        <v>11.61931683217537</v>
      </c>
      <c r="H323" s="12">
        <f t="shared" si="172"/>
        <v>1062.5865243024375</v>
      </c>
      <c r="I323" s="22">
        <v>0</v>
      </c>
      <c r="J323" s="11">
        <f t="shared" si="173"/>
        <v>9.2954534657402963</v>
      </c>
      <c r="K323" s="10">
        <f t="shared" si="161"/>
        <v>11.837759988620268</v>
      </c>
      <c r="L323" s="12">
        <f t="shared" si="176"/>
        <v>0</v>
      </c>
      <c r="M323" s="11">
        <f>I323-E323</f>
        <v>-91.45</v>
      </c>
      <c r="N323" s="11">
        <f t="shared" si="174"/>
        <v>9.2954534657402963</v>
      </c>
      <c r="O323" s="10">
        <f t="shared" si="163"/>
        <v>11.837759988620268</v>
      </c>
      <c r="P323" s="12">
        <f t="shared" si="175"/>
        <v>-1082.5631509593236</v>
      </c>
      <c r="Q323" s="148"/>
      <c r="R323" s="74"/>
      <c r="S323" s="47">
        <f>F323-'[1]CORREÇÃO DOS ITENS DIVERGENTES'!$P296</f>
        <v>0</v>
      </c>
      <c r="T323" s="12">
        <f t="shared" si="166"/>
        <v>1062.5865243024375</v>
      </c>
      <c r="V323" s="41"/>
    </row>
    <row r="324" spans="1:22" ht="22.5" hidden="1">
      <c r="A324" s="118">
        <v>25027000</v>
      </c>
      <c r="B324" s="89" t="s">
        <v>395</v>
      </c>
      <c r="C324" s="89" t="s">
        <v>396</v>
      </c>
      <c r="D324" s="90" t="s">
        <v>102</v>
      </c>
      <c r="E324" s="91">
        <v>30.48</v>
      </c>
      <c r="F324" s="11">
        <f>VLOOKUP(A324,'[1]CORREÇÃO DOS ITENS DIVERGENTES'!$A$13:$G$490,7)</f>
        <v>9.2954534657402963</v>
      </c>
      <c r="G324" s="91">
        <f t="shared" si="167"/>
        <v>11.61931683217537</v>
      </c>
      <c r="H324" s="12">
        <f t="shared" si="172"/>
        <v>354.15677704470528</v>
      </c>
      <c r="I324" s="22">
        <v>0</v>
      </c>
      <c r="J324" s="11">
        <f t="shared" si="173"/>
        <v>9.2954534657402963</v>
      </c>
      <c r="K324" s="10">
        <f t="shared" si="161"/>
        <v>11.837759988620268</v>
      </c>
      <c r="L324" s="12">
        <f t="shared" si="176"/>
        <v>0</v>
      </c>
      <c r="M324" s="11">
        <f>I324-E324</f>
        <v>-30.48</v>
      </c>
      <c r="N324" s="11">
        <f t="shared" si="174"/>
        <v>9.2954534657402963</v>
      </c>
      <c r="O324" s="10">
        <f t="shared" si="163"/>
        <v>11.837759988620268</v>
      </c>
      <c r="P324" s="12">
        <f t="shared" si="175"/>
        <v>-360.81492445314581</v>
      </c>
      <c r="Q324" s="148"/>
      <c r="R324" s="74"/>
      <c r="S324" s="47">
        <f>F324-'[1]CORREÇÃO DOS ITENS DIVERGENTES'!$P297</f>
        <v>0</v>
      </c>
      <c r="T324" s="12">
        <f t="shared" si="166"/>
        <v>354.15677704470528</v>
      </c>
      <c r="V324" s="41"/>
    </row>
    <row r="325" spans="1:22" ht="22.5" hidden="1">
      <c r="A325" s="118">
        <v>25028000</v>
      </c>
      <c r="B325" s="89" t="s">
        <v>397</v>
      </c>
      <c r="C325" s="89" t="s">
        <v>398</v>
      </c>
      <c r="D325" s="90" t="s">
        <v>102</v>
      </c>
      <c r="E325" s="91">
        <v>30.48</v>
      </c>
      <c r="F325" s="11">
        <f>VLOOKUP(A325,'[1]CORREÇÃO DOS ITENS DIVERGENTES'!$A$13:$G$490,7)</f>
        <v>6.7321079966573327</v>
      </c>
      <c r="G325" s="91">
        <f t="shared" si="167"/>
        <v>8.4151349958216652</v>
      </c>
      <c r="H325" s="12">
        <f t="shared" si="172"/>
        <v>256.49331467264437</v>
      </c>
      <c r="I325" s="22">
        <v>0</v>
      </c>
      <c r="J325" s="11">
        <f t="shared" si="173"/>
        <v>6.7321079966573327</v>
      </c>
      <c r="K325" s="10">
        <f t="shared" si="161"/>
        <v>8.5733395337431144</v>
      </c>
      <c r="L325" s="12">
        <f t="shared" si="176"/>
        <v>0</v>
      </c>
      <c r="M325" s="11">
        <f>I325-E325</f>
        <v>-30.48</v>
      </c>
      <c r="N325" s="11">
        <f t="shared" si="174"/>
        <v>6.7321079966573327</v>
      </c>
      <c r="O325" s="10">
        <f t="shared" si="163"/>
        <v>8.5733395337431144</v>
      </c>
      <c r="P325" s="12">
        <f t="shared" si="175"/>
        <v>-261.31538898849016</v>
      </c>
      <c r="Q325" s="148"/>
      <c r="R325" s="74"/>
      <c r="S325" s="47">
        <f>F325-'[1]CORREÇÃO DOS ITENS DIVERGENTES'!$P298</f>
        <v>0</v>
      </c>
      <c r="T325" s="12">
        <f t="shared" si="166"/>
        <v>256.49331467264437</v>
      </c>
      <c r="V325" s="41"/>
    </row>
    <row r="326" spans="1:22" hidden="1">
      <c r="A326" s="118">
        <v>25029000</v>
      </c>
      <c r="B326" s="89" t="s">
        <v>399</v>
      </c>
      <c r="C326" s="89" t="s">
        <v>400</v>
      </c>
      <c r="D326" s="90" t="s">
        <v>102</v>
      </c>
      <c r="E326" s="91">
        <v>102.35</v>
      </c>
      <c r="F326" s="11">
        <f>VLOOKUP(A326,'[1]CORREÇÃO DOS ITENS DIVERGENTES'!$A$13:$G$490,7)</f>
        <v>3.3616191445759278</v>
      </c>
      <c r="G326" s="91">
        <f t="shared" si="167"/>
        <v>4.2020239307199097</v>
      </c>
      <c r="H326" s="12">
        <f t="shared" si="172"/>
        <v>430.07714930918274</v>
      </c>
      <c r="I326" s="22">
        <v>102.35</v>
      </c>
      <c r="J326" s="11">
        <f t="shared" si="173"/>
        <v>3.3616191445759278</v>
      </c>
      <c r="K326" s="10">
        <f t="shared" si="161"/>
        <v>4.2810219806174441</v>
      </c>
      <c r="L326" s="12">
        <f t="shared" si="176"/>
        <v>438.16259971619536</v>
      </c>
      <c r="M326" s="11">
        <v>0</v>
      </c>
      <c r="N326" s="11">
        <f t="shared" si="174"/>
        <v>3.3616191445759278</v>
      </c>
      <c r="O326" s="10">
        <f t="shared" si="163"/>
        <v>4.2810219806174441</v>
      </c>
      <c r="P326" s="12">
        <f t="shared" si="175"/>
        <v>0</v>
      </c>
      <c r="Q326" s="148"/>
      <c r="R326" s="74"/>
      <c r="S326" s="47">
        <f>F326-'[1]CORREÇÃO DOS ITENS DIVERGENTES'!$P299</f>
        <v>0</v>
      </c>
      <c r="T326" s="12">
        <f t="shared" si="166"/>
        <v>430.07714930918274</v>
      </c>
      <c r="V326" s="41"/>
    </row>
    <row r="327" spans="1:22" hidden="1">
      <c r="A327" s="118">
        <v>25030000</v>
      </c>
      <c r="B327" s="89" t="s">
        <v>401</v>
      </c>
      <c r="C327" s="89" t="s">
        <v>402</v>
      </c>
      <c r="D327" s="90" t="s">
        <v>19</v>
      </c>
      <c r="E327" s="91">
        <v>2</v>
      </c>
      <c r="F327" s="11">
        <f>VLOOKUP(A327,'[1]CORREÇÃO DOS ITENS DIVERGENTES'!$A$13:$G$490,7)</f>
        <v>40.800654525195959</v>
      </c>
      <c r="G327" s="91">
        <f t="shared" si="167"/>
        <v>51.000818156494951</v>
      </c>
      <c r="H327" s="12">
        <f t="shared" si="172"/>
        <v>102.0016363129899</v>
      </c>
      <c r="I327" s="22">
        <v>0</v>
      </c>
      <c r="J327" s="11">
        <f t="shared" si="173"/>
        <v>40.800654525195959</v>
      </c>
      <c r="K327" s="10">
        <f t="shared" si="161"/>
        <v>51.959633537837057</v>
      </c>
      <c r="L327" s="12">
        <f t="shared" si="176"/>
        <v>0</v>
      </c>
      <c r="M327" s="11">
        <f>I327-E327</f>
        <v>-2</v>
      </c>
      <c r="N327" s="11">
        <f t="shared" si="174"/>
        <v>40.800654525195959</v>
      </c>
      <c r="O327" s="10">
        <f t="shared" si="163"/>
        <v>51.959633537837057</v>
      </c>
      <c r="P327" s="12">
        <f t="shared" si="175"/>
        <v>-103.91926707567411</v>
      </c>
      <c r="Q327" s="148"/>
      <c r="R327" s="74"/>
      <c r="S327" s="47">
        <f>F327-'[1]CORREÇÃO DOS ITENS DIVERGENTES'!$P300</f>
        <v>0</v>
      </c>
      <c r="T327" s="12">
        <f t="shared" si="166"/>
        <v>102.0016363129899</v>
      </c>
      <c r="V327" s="41"/>
    </row>
    <row r="328" spans="1:22" hidden="1">
      <c r="A328" s="118">
        <v>25031000</v>
      </c>
      <c r="B328" s="89" t="s">
        <v>403</v>
      </c>
      <c r="C328" s="89" t="s">
        <v>404</v>
      </c>
      <c r="D328" s="90" t="s">
        <v>102</v>
      </c>
      <c r="E328" s="91">
        <v>82</v>
      </c>
      <c r="F328" s="11">
        <f>VLOOKUP(A328,'[1]CORREÇÃO DOS ITENS DIVERGENTES'!$A$13:$G$490,7)</f>
        <v>33.199315193001844</v>
      </c>
      <c r="G328" s="91">
        <f t="shared" si="167"/>
        <v>41.499143991252303</v>
      </c>
      <c r="H328" s="12">
        <f t="shared" si="172"/>
        <v>3402.9298072826887</v>
      </c>
      <c r="I328" s="22">
        <v>0</v>
      </c>
      <c r="J328" s="11">
        <f t="shared" si="173"/>
        <v>33.199315193001844</v>
      </c>
      <c r="K328" s="10">
        <f t="shared" si="161"/>
        <v>42.279327898287853</v>
      </c>
      <c r="L328" s="12">
        <f t="shared" si="176"/>
        <v>0</v>
      </c>
      <c r="M328" s="11">
        <f>I328-E328</f>
        <v>-82</v>
      </c>
      <c r="N328" s="11">
        <f t="shared" si="174"/>
        <v>33.199315193001844</v>
      </c>
      <c r="O328" s="10">
        <f t="shared" si="163"/>
        <v>42.279327898287853</v>
      </c>
      <c r="P328" s="12">
        <f t="shared" si="175"/>
        <v>-3466.9048876596039</v>
      </c>
      <c r="Q328" s="148"/>
      <c r="R328" s="74"/>
      <c r="S328" s="47">
        <f>F328-'[1]CORREÇÃO DOS ITENS DIVERGENTES'!$P301</f>
        <v>0</v>
      </c>
      <c r="T328" s="12">
        <f t="shared" si="166"/>
        <v>3402.9298072826887</v>
      </c>
      <c r="V328" s="41"/>
    </row>
    <row r="329" spans="1:22" ht="33.75" hidden="1">
      <c r="A329" s="118">
        <v>25032000</v>
      </c>
      <c r="B329" s="89" t="s">
        <v>405</v>
      </c>
      <c r="C329" s="89" t="s">
        <v>406</v>
      </c>
      <c r="D329" s="90" t="s">
        <v>102</v>
      </c>
      <c r="E329" s="91">
        <v>12</v>
      </c>
      <c r="F329" s="11">
        <f>VLOOKUP(A329,'[1]CORREÇÃO DOS ITENS DIVERGENTES'!$A$13:$G$490,7)</f>
        <v>33.199315193001844</v>
      </c>
      <c r="G329" s="91">
        <f t="shared" si="167"/>
        <v>41.499143991252303</v>
      </c>
      <c r="H329" s="12">
        <f t="shared" si="172"/>
        <v>497.98972789502761</v>
      </c>
      <c r="I329" s="22">
        <f>12+M329</f>
        <v>20</v>
      </c>
      <c r="J329" s="11">
        <f t="shared" si="173"/>
        <v>33.199315193001844</v>
      </c>
      <c r="K329" s="10">
        <f t="shared" si="161"/>
        <v>42.279327898287853</v>
      </c>
      <c r="L329" s="12">
        <f t="shared" si="176"/>
        <v>845.58655796575704</v>
      </c>
      <c r="M329" s="11">
        <f>20-12</f>
        <v>8</v>
      </c>
      <c r="N329" s="11">
        <f t="shared" si="174"/>
        <v>33.199315193001844</v>
      </c>
      <c r="O329" s="10">
        <f t="shared" si="163"/>
        <v>42.279327898287853</v>
      </c>
      <c r="P329" s="12">
        <f t="shared" si="175"/>
        <v>338.23462318630283</v>
      </c>
      <c r="Q329" s="148"/>
      <c r="R329" s="74"/>
      <c r="S329" s="47">
        <f>F329-'[1]CORREÇÃO DOS ITENS DIVERGENTES'!$P302</f>
        <v>0</v>
      </c>
      <c r="T329" s="12">
        <f t="shared" si="166"/>
        <v>497.98972789502761</v>
      </c>
      <c r="V329" s="41"/>
    </row>
    <row r="330" spans="1:22" ht="22.5" hidden="1">
      <c r="A330" s="118">
        <v>25033000</v>
      </c>
      <c r="B330" s="89" t="s">
        <v>407</v>
      </c>
      <c r="C330" s="89" t="s">
        <v>408</v>
      </c>
      <c r="D330" s="90" t="s">
        <v>102</v>
      </c>
      <c r="E330" s="91">
        <v>20</v>
      </c>
      <c r="F330" s="11">
        <f>VLOOKUP(A330,'[1]CORREÇÃO DOS ITENS DIVERGENTES'!$A$13:$G$490,7)</f>
        <v>33.199315193001844</v>
      </c>
      <c r="G330" s="91">
        <f t="shared" si="167"/>
        <v>41.499143991252303</v>
      </c>
      <c r="H330" s="12">
        <f t="shared" si="172"/>
        <v>829.9828798250461</v>
      </c>
      <c r="I330" s="22">
        <v>20</v>
      </c>
      <c r="J330" s="11">
        <f t="shared" si="173"/>
        <v>33.199315193001844</v>
      </c>
      <c r="K330" s="10">
        <f t="shared" si="161"/>
        <v>42.279327898287853</v>
      </c>
      <c r="L330" s="12">
        <f t="shared" si="176"/>
        <v>845.58655796575704</v>
      </c>
      <c r="M330" s="11">
        <v>0</v>
      </c>
      <c r="N330" s="11">
        <f t="shared" si="174"/>
        <v>33.199315193001844</v>
      </c>
      <c r="O330" s="10">
        <f t="shared" si="163"/>
        <v>42.279327898287853</v>
      </c>
      <c r="P330" s="12">
        <f t="shared" si="175"/>
        <v>0</v>
      </c>
      <c r="Q330" s="148"/>
      <c r="R330" s="74"/>
      <c r="S330" s="47">
        <f>F330-'[1]CORREÇÃO DOS ITENS DIVERGENTES'!$P303</f>
        <v>0</v>
      </c>
      <c r="T330" s="12">
        <f t="shared" si="166"/>
        <v>829.9828798250461</v>
      </c>
      <c r="V330" s="41"/>
    </row>
    <row r="331" spans="1:22" hidden="1">
      <c r="A331" s="118">
        <v>25034000</v>
      </c>
      <c r="B331" s="89" t="s">
        <v>409</v>
      </c>
      <c r="C331" s="89" t="s">
        <v>410</v>
      </c>
      <c r="D331" s="90" t="s">
        <v>19</v>
      </c>
      <c r="E331" s="91">
        <v>35</v>
      </c>
      <c r="F331" s="11">
        <f>VLOOKUP(A331,'[1]CORREÇÃO DOS ITENS DIVERGENTES'!$A$13:$G$490,7)</f>
        <v>1.9424659436995466</v>
      </c>
      <c r="G331" s="91">
        <f t="shared" si="167"/>
        <v>2.4280824296244332</v>
      </c>
      <c r="H331" s="12">
        <f t="shared" si="172"/>
        <v>84.982885036855166</v>
      </c>
      <c r="I331" s="22">
        <v>35</v>
      </c>
      <c r="J331" s="11">
        <f t="shared" si="173"/>
        <v>1.9424659436995466</v>
      </c>
      <c r="K331" s="10">
        <f t="shared" si="161"/>
        <v>2.4737303793013727</v>
      </c>
      <c r="L331" s="12">
        <f t="shared" si="176"/>
        <v>86.580563275548045</v>
      </c>
      <c r="M331" s="11">
        <v>0</v>
      </c>
      <c r="N331" s="11">
        <f t="shared" si="174"/>
        <v>1.9424659436995466</v>
      </c>
      <c r="O331" s="10">
        <f t="shared" si="163"/>
        <v>2.4737303793013727</v>
      </c>
      <c r="P331" s="12">
        <f t="shared" si="175"/>
        <v>0</v>
      </c>
      <c r="Q331" s="148"/>
      <c r="R331" s="74"/>
      <c r="S331" s="47">
        <f>F331-'[1]CORREÇÃO DOS ITENS DIVERGENTES'!$P304</f>
        <v>0</v>
      </c>
      <c r="T331" s="12">
        <f t="shared" si="166"/>
        <v>84.982885036855166</v>
      </c>
      <c r="V331" s="41"/>
    </row>
    <row r="332" spans="1:22" ht="22.5" hidden="1">
      <c r="A332" s="118">
        <v>25035000</v>
      </c>
      <c r="B332" s="89" t="s">
        <v>411</v>
      </c>
      <c r="C332" s="89" t="s">
        <v>412</v>
      </c>
      <c r="D332" s="90" t="s">
        <v>19</v>
      </c>
      <c r="E332" s="91">
        <v>2</v>
      </c>
      <c r="F332" s="11">
        <f>VLOOKUP(A332,'[1]CORREÇÃO DOS ITENS DIVERGENTES'!$A$13:$G$490,7)</f>
        <v>57.041088967725045</v>
      </c>
      <c r="G332" s="91">
        <f t="shared" si="167"/>
        <v>71.301361209656307</v>
      </c>
      <c r="H332" s="12">
        <f t="shared" si="172"/>
        <v>142.60272241931261</v>
      </c>
      <c r="I332" s="22">
        <v>0</v>
      </c>
      <c r="J332" s="11">
        <f t="shared" si="173"/>
        <v>57.041088967725045</v>
      </c>
      <c r="K332" s="10">
        <f t="shared" si="161"/>
        <v>72.641826800397851</v>
      </c>
      <c r="L332" s="12">
        <f t="shared" si="176"/>
        <v>0</v>
      </c>
      <c r="M332" s="11">
        <f>I332-E332</f>
        <v>-2</v>
      </c>
      <c r="N332" s="11">
        <f t="shared" si="174"/>
        <v>57.041088967725045</v>
      </c>
      <c r="O332" s="10">
        <f t="shared" si="163"/>
        <v>72.641826800397851</v>
      </c>
      <c r="P332" s="12">
        <f t="shared" si="175"/>
        <v>-145.2836536007957</v>
      </c>
      <c r="Q332" s="148"/>
      <c r="R332" s="74"/>
      <c r="S332" s="47">
        <f>F332-'[1]CORREÇÃO DOS ITENS DIVERGENTES'!$P305</f>
        <v>0</v>
      </c>
      <c r="T332" s="12">
        <f t="shared" si="166"/>
        <v>142.60272241931261</v>
      </c>
      <c r="V332" s="41"/>
    </row>
    <row r="333" spans="1:22" ht="22.5" hidden="1">
      <c r="A333" s="118"/>
      <c r="B333" s="89">
        <v>26324</v>
      </c>
      <c r="C333" s="89" t="s">
        <v>413</v>
      </c>
      <c r="D333" s="90"/>
      <c r="E333" s="91"/>
      <c r="F333" s="11"/>
      <c r="G333" s="91">
        <f t="shared" si="167"/>
        <v>0</v>
      </c>
      <c r="H333" s="12">
        <f t="shared" si="172"/>
        <v>0</v>
      </c>
      <c r="I333" s="22">
        <f>M333</f>
        <v>1</v>
      </c>
      <c r="J333" s="11">
        <v>168.98</v>
      </c>
      <c r="K333" s="10">
        <f t="shared" si="161"/>
        <v>215.19603000000001</v>
      </c>
      <c r="L333" s="12">
        <f t="shared" si="176"/>
        <v>215.19603000000001</v>
      </c>
      <c r="M333" s="11">
        <v>1</v>
      </c>
      <c r="N333" s="11">
        <f>215.2/1.2735</f>
        <v>168.98311739301136</v>
      </c>
      <c r="O333" s="10">
        <v>215.2</v>
      </c>
      <c r="P333" s="12">
        <f t="shared" si="175"/>
        <v>215.2</v>
      </c>
      <c r="Q333" s="148"/>
      <c r="R333" s="74"/>
      <c r="S333" s="14"/>
      <c r="T333" s="12">
        <f t="shared" si="166"/>
        <v>0</v>
      </c>
      <c r="V333" s="41"/>
    </row>
    <row r="334" spans="1:22" ht="22.5" hidden="1">
      <c r="A334" s="118">
        <v>25036000</v>
      </c>
      <c r="B334" s="89" t="s">
        <v>414</v>
      </c>
      <c r="C334" s="89" t="s">
        <v>415</v>
      </c>
      <c r="D334" s="90" t="s">
        <v>19</v>
      </c>
      <c r="E334" s="91">
        <v>23</v>
      </c>
      <c r="F334" s="11">
        <f>VLOOKUP(A334,'[1]CORREÇÃO DOS ITENS DIVERGENTES'!$A$13:$G$490,7)</f>
        <v>22.94593331666999</v>
      </c>
      <c r="G334" s="91">
        <f t="shared" si="167"/>
        <v>28.682416645837488</v>
      </c>
      <c r="H334" s="12">
        <f t="shared" si="172"/>
        <v>659.69558285426228</v>
      </c>
      <c r="I334" s="22">
        <v>23</v>
      </c>
      <c r="J334" s="11">
        <f>F334</f>
        <v>22.94593331666999</v>
      </c>
      <c r="K334" s="10">
        <f t="shared" si="161"/>
        <v>29.221646078779234</v>
      </c>
      <c r="L334" s="12">
        <f t="shared" si="176"/>
        <v>672.09785981192238</v>
      </c>
      <c r="M334" s="11">
        <v>0</v>
      </c>
      <c r="N334" s="11">
        <f t="shared" si="174"/>
        <v>22.94593331666999</v>
      </c>
      <c r="O334" s="10">
        <f t="shared" si="163"/>
        <v>29.221646078779234</v>
      </c>
      <c r="P334" s="12">
        <f t="shared" si="175"/>
        <v>0</v>
      </c>
      <c r="Q334" s="148"/>
      <c r="R334" s="74"/>
      <c r="S334" s="47">
        <f>F334-'[1]CORREÇÃO DOS ITENS DIVERGENTES'!$P306</f>
        <v>0</v>
      </c>
      <c r="T334" s="12">
        <f t="shared" si="166"/>
        <v>659.69558285426228</v>
      </c>
      <c r="V334" s="41"/>
    </row>
    <row r="335" spans="1:22" ht="22.5" hidden="1">
      <c r="A335" s="118">
        <v>25037000</v>
      </c>
      <c r="B335" s="89" t="s">
        <v>416</v>
      </c>
      <c r="C335" s="89" t="s">
        <v>417</v>
      </c>
      <c r="D335" s="90" t="s">
        <v>19</v>
      </c>
      <c r="E335" s="91">
        <v>28</v>
      </c>
      <c r="F335" s="11">
        <f>VLOOKUP(A335,'[1]CORREÇÃO DOS ITENS DIVERGENTES'!$A$13:$G$490,7)</f>
        <v>120.96507095970054</v>
      </c>
      <c r="G335" s="91">
        <f t="shared" si="167"/>
        <v>151.20633869962569</v>
      </c>
      <c r="H335" s="12">
        <f t="shared" si="172"/>
        <v>4233.7774835895198</v>
      </c>
      <c r="I335" s="22">
        <v>0</v>
      </c>
      <c r="J335" s="11">
        <f>F335</f>
        <v>120.96507095970054</v>
      </c>
      <c r="K335" s="10">
        <f t="shared" si="161"/>
        <v>154.04901786717863</v>
      </c>
      <c r="L335" s="12">
        <f t="shared" si="176"/>
        <v>0</v>
      </c>
      <c r="M335" s="11">
        <f>I335-E335</f>
        <v>-28</v>
      </c>
      <c r="N335" s="11">
        <f t="shared" si="174"/>
        <v>120.96507095970054</v>
      </c>
      <c r="O335" s="10">
        <f t="shared" si="163"/>
        <v>154.04901786717863</v>
      </c>
      <c r="P335" s="12">
        <f t="shared" si="175"/>
        <v>-4313.3725002810015</v>
      </c>
      <c r="Q335" s="148"/>
      <c r="R335" s="74"/>
      <c r="S335" s="47">
        <f>F335-'[1]CORREÇÃO DOS ITENS DIVERGENTES'!$P307</f>
        <v>0</v>
      </c>
      <c r="T335" s="12">
        <f t="shared" si="166"/>
        <v>4233.7774835895198</v>
      </c>
      <c r="V335" s="41"/>
    </row>
    <row r="336" spans="1:22" ht="22.5" hidden="1">
      <c r="A336" s="118">
        <v>25038000</v>
      </c>
      <c r="B336" s="89" t="s">
        <v>418</v>
      </c>
      <c r="C336" s="89" t="s">
        <v>419</v>
      </c>
      <c r="D336" s="90" t="s">
        <v>19</v>
      </c>
      <c r="E336" s="91">
        <f>22+48</f>
        <v>70</v>
      </c>
      <c r="F336" s="11">
        <f>VLOOKUP(A336,'[1]CORREÇÃO DOS ITENS DIVERGENTES'!$A$13:$G$490,7)</f>
        <v>15.51311842707994</v>
      </c>
      <c r="G336" s="91">
        <f t="shared" si="167"/>
        <v>19.391398033849924</v>
      </c>
      <c r="H336" s="12">
        <f t="shared" si="172"/>
        <v>1357.3978623694948</v>
      </c>
      <c r="I336" s="22">
        <v>50</v>
      </c>
      <c r="J336" s="11">
        <f>F336</f>
        <v>15.51311842707994</v>
      </c>
      <c r="K336" s="10">
        <f t="shared" si="161"/>
        <v>19.755956316886305</v>
      </c>
      <c r="L336" s="12">
        <f t="shared" si="176"/>
        <v>987.79781584431521</v>
      </c>
      <c r="M336" s="11">
        <f>I336-E336</f>
        <v>-20</v>
      </c>
      <c r="N336" s="11">
        <f t="shared" si="174"/>
        <v>15.51311842707994</v>
      </c>
      <c r="O336" s="10">
        <f t="shared" si="163"/>
        <v>19.755956316886305</v>
      </c>
      <c r="P336" s="12">
        <f t="shared" si="175"/>
        <v>-395.11912633772613</v>
      </c>
      <c r="Q336" s="148"/>
      <c r="R336" s="74"/>
      <c r="S336" s="47">
        <f>F336-'[1]CORREÇÃO DOS ITENS DIVERGENTES'!$P308</f>
        <v>0</v>
      </c>
      <c r="T336" s="12">
        <f t="shared" ref="T336:T399" si="177">E336*G336</f>
        <v>1357.3978623694948</v>
      </c>
      <c r="V336" s="41"/>
    </row>
    <row r="337" spans="1:22" ht="22.5">
      <c r="A337" s="118">
        <v>25002000</v>
      </c>
      <c r="B337" s="89">
        <v>7557</v>
      </c>
      <c r="C337" s="89" t="s">
        <v>348</v>
      </c>
      <c r="D337" s="90" t="s">
        <v>19</v>
      </c>
      <c r="E337" s="91">
        <v>2</v>
      </c>
      <c r="F337" s="35">
        <v>12.23</v>
      </c>
      <c r="G337" s="91">
        <f t="shared" si="167"/>
        <v>15.287500000000001</v>
      </c>
      <c r="H337" s="12">
        <f t="shared" ref="H337:H348" si="178">E337*F337</f>
        <v>24.46</v>
      </c>
      <c r="I337" s="22"/>
      <c r="J337" s="11"/>
      <c r="K337" s="10"/>
      <c r="L337" s="12"/>
      <c r="M337" s="11"/>
      <c r="N337" s="11"/>
      <c r="O337" s="10"/>
      <c r="P337" s="12"/>
      <c r="Q337" s="148"/>
      <c r="R337" s="74"/>
      <c r="S337" s="47"/>
      <c r="T337" s="12">
        <f t="shared" si="177"/>
        <v>30.575000000000003</v>
      </c>
      <c r="V337" s="41"/>
    </row>
    <row r="338" spans="1:22" ht="22.5">
      <c r="A338" s="118">
        <v>25017000</v>
      </c>
      <c r="B338" s="89">
        <v>7555</v>
      </c>
      <c r="C338" s="89" t="s">
        <v>376</v>
      </c>
      <c r="D338" s="90" t="s">
        <v>19</v>
      </c>
      <c r="E338" s="91">
        <v>10</v>
      </c>
      <c r="F338" s="35">
        <v>9.3000000000000007</v>
      </c>
      <c r="G338" s="91">
        <f t="shared" si="167"/>
        <v>11.625</v>
      </c>
      <c r="H338" s="12">
        <f t="shared" si="178"/>
        <v>93</v>
      </c>
      <c r="I338" s="22"/>
      <c r="J338" s="11"/>
      <c r="K338" s="10"/>
      <c r="L338" s="12"/>
      <c r="M338" s="11"/>
      <c r="N338" s="11"/>
      <c r="O338" s="10"/>
      <c r="P338" s="12"/>
      <c r="Q338" s="148"/>
      <c r="R338" s="74"/>
      <c r="S338" s="47"/>
      <c r="T338" s="12">
        <f t="shared" si="177"/>
        <v>116.25</v>
      </c>
      <c r="V338" s="41"/>
    </row>
    <row r="339" spans="1:22" ht="22.5">
      <c r="A339" s="118">
        <v>25018000</v>
      </c>
      <c r="B339" s="89">
        <v>91959</v>
      </c>
      <c r="C339" s="89" t="s">
        <v>378</v>
      </c>
      <c r="D339" s="90" t="s">
        <v>19</v>
      </c>
      <c r="E339" s="91">
        <v>3</v>
      </c>
      <c r="F339" s="35">
        <v>34.9</v>
      </c>
      <c r="G339" s="91">
        <f t="shared" ref="G339:G402" si="179">F339*1.25</f>
        <v>43.625</v>
      </c>
      <c r="H339" s="12">
        <f t="shared" si="178"/>
        <v>104.69999999999999</v>
      </c>
      <c r="I339" s="22"/>
      <c r="J339" s="11"/>
      <c r="K339" s="10"/>
      <c r="L339" s="12"/>
      <c r="M339" s="11"/>
      <c r="N339" s="11"/>
      <c r="O339" s="10"/>
      <c r="P339" s="12"/>
      <c r="Q339" s="148"/>
      <c r="R339" s="74"/>
      <c r="S339" s="47"/>
      <c r="T339" s="12">
        <f t="shared" si="177"/>
        <v>130.875</v>
      </c>
      <c r="V339" s="41"/>
    </row>
    <row r="340" spans="1:22" ht="22.5">
      <c r="A340" s="118">
        <v>25019000</v>
      </c>
      <c r="B340" s="89">
        <v>91967</v>
      </c>
      <c r="C340" s="89" t="s">
        <v>380</v>
      </c>
      <c r="D340" s="90" t="s">
        <v>19</v>
      </c>
      <c r="E340" s="91">
        <v>4</v>
      </c>
      <c r="F340" s="35">
        <v>47.99</v>
      </c>
      <c r="G340" s="91">
        <f t="shared" si="179"/>
        <v>59.987500000000004</v>
      </c>
      <c r="H340" s="12">
        <f t="shared" si="178"/>
        <v>191.96</v>
      </c>
      <c r="I340" s="22"/>
      <c r="J340" s="11"/>
      <c r="K340" s="10"/>
      <c r="L340" s="12"/>
      <c r="M340" s="11"/>
      <c r="N340" s="11"/>
      <c r="O340" s="10"/>
      <c r="P340" s="12"/>
      <c r="Q340" s="148"/>
      <c r="R340" s="74"/>
      <c r="S340" s="47"/>
      <c r="T340" s="12">
        <f t="shared" si="177"/>
        <v>239.95000000000002</v>
      </c>
      <c r="V340" s="41"/>
    </row>
    <row r="341" spans="1:22" ht="22.5">
      <c r="A341" s="118">
        <v>25038000</v>
      </c>
      <c r="B341" s="89">
        <v>12145</v>
      </c>
      <c r="C341" s="89" t="s">
        <v>419</v>
      </c>
      <c r="D341" s="90" t="s">
        <v>19</v>
      </c>
      <c r="E341" s="91">
        <v>30</v>
      </c>
      <c r="F341" s="35">
        <v>31.31</v>
      </c>
      <c r="G341" s="91">
        <f t="shared" si="179"/>
        <v>39.137499999999996</v>
      </c>
      <c r="H341" s="12">
        <f t="shared" si="178"/>
        <v>939.3</v>
      </c>
      <c r="I341" s="22"/>
      <c r="J341" s="11"/>
      <c r="K341" s="10"/>
      <c r="L341" s="12"/>
      <c r="M341" s="11"/>
      <c r="N341" s="11"/>
      <c r="O341" s="10"/>
      <c r="P341" s="12"/>
      <c r="Q341" s="148"/>
      <c r="R341" s="74"/>
      <c r="S341" s="47"/>
      <c r="T341" s="12">
        <f t="shared" si="177"/>
        <v>1174.1249999999998</v>
      </c>
      <c r="V341" s="41"/>
    </row>
    <row r="342" spans="1:22">
      <c r="A342" s="131">
        <v>25039000</v>
      </c>
      <c r="B342" s="89">
        <v>7528</v>
      </c>
      <c r="C342" s="89" t="s">
        <v>420</v>
      </c>
      <c r="D342" s="90" t="s">
        <v>19</v>
      </c>
      <c r="E342" s="11">
        <v>26</v>
      </c>
      <c r="F342" s="35">
        <v>9.9</v>
      </c>
      <c r="G342" s="91">
        <f t="shared" si="179"/>
        <v>12.375</v>
      </c>
      <c r="H342" s="12">
        <f t="shared" si="178"/>
        <v>257.40000000000003</v>
      </c>
      <c r="I342" s="22">
        <v>16</v>
      </c>
      <c r="J342" s="11">
        <f>F342</f>
        <v>9.9</v>
      </c>
      <c r="K342" s="10">
        <f t="shared" si="161"/>
        <v>12.607650000000001</v>
      </c>
      <c r="L342" s="12">
        <f t="shared" si="176"/>
        <v>201.72240000000002</v>
      </c>
      <c r="M342" s="11">
        <v>0</v>
      </c>
      <c r="N342" s="11">
        <f t="shared" si="174"/>
        <v>9.9</v>
      </c>
      <c r="O342" s="10">
        <f t="shared" si="163"/>
        <v>12.607650000000001</v>
      </c>
      <c r="P342" s="12">
        <f t="shared" si="175"/>
        <v>0</v>
      </c>
      <c r="Q342" s="148"/>
      <c r="R342" s="74"/>
      <c r="S342" s="47">
        <f>F342-'[1]CORREÇÃO DOS ITENS DIVERGENTES'!$P309</f>
        <v>-5.6131184270799395</v>
      </c>
      <c r="T342" s="12">
        <f t="shared" si="177"/>
        <v>321.75</v>
      </c>
      <c r="V342" s="41"/>
    </row>
    <row r="343" spans="1:22" ht="22.5" hidden="1">
      <c r="A343" s="131">
        <v>25040000</v>
      </c>
      <c r="B343" s="89" t="s">
        <v>421</v>
      </c>
      <c r="C343" s="89" t="s">
        <v>422</v>
      </c>
      <c r="D343" s="90" t="s">
        <v>19</v>
      </c>
      <c r="E343" s="11">
        <v>3</v>
      </c>
      <c r="F343" s="11">
        <f>VLOOKUP(A343,'[1]CORREÇÃO DOS ITENS DIVERGENTES'!$A$13:$G$490,7)</f>
        <v>15.51311842707994</v>
      </c>
      <c r="G343" s="91">
        <f t="shared" si="179"/>
        <v>19.391398033849924</v>
      </c>
      <c r="H343" s="12">
        <f t="shared" si="178"/>
        <v>46.539355281239821</v>
      </c>
      <c r="I343" s="22">
        <f>3+M343</f>
        <v>5</v>
      </c>
      <c r="J343" s="11">
        <f>F343</f>
        <v>15.51311842707994</v>
      </c>
      <c r="K343" s="10">
        <f t="shared" si="161"/>
        <v>19.755956316886305</v>
      </c>
      <c r="L343" s="12">
        <f t="shared" si="176"/>
        <v>98.779781584431532</v>
      </c>
      <c r="M343" s="11">
        <f>5-3</f>
        <v>2</v>
      </c>
      <c r="N343" s="11">
        <f t="shared" si="174"/>
        <v>15.51311842707994</v>
      </c>
      <c r="O343" s="10">
        <f t="shared" si="163"/>
        <v>19.755956316886305</v>
      </c>
      <c r="P343" s="12">
        <f t="shared" si="175"/>
        <v>39.51191263377261</v>
      </c>
      <c r="Q343" s="148"/>
      <c r="R343" s="74"/>
      <c r="S343" s="47">
        <f>F343-'[1]CORREÇÃO DOS ITENS DIVERGENTES'!$P310</f>
        <v>0</v>
      </c>
      <c r="T343" s="12">
        <f t="shared" si="177"/>
        <v>58.174194101549773</v>
      </c>
      <c r="V343" s="41"/>
    </row>
    <row r="344" spans="1:22" ht="22.5">
      <c r="A344" s="131">
        <v>25041000</v>
      </c>
      <c r="B344" s="89" t="s">
        <v>423</v>
      </c>
      <c r="C344" s="89" t="s">
        <v>424</v>
      </c>
      <c r="D344" s="90" t="s">
        <v>19</v>
      </c>
      <c r="E344" s="11">
        <v>12</v>
      </c>
      <c r="F344" s="35">
        <f>F342</f>
        <v>9.9</v>
      </c>
      <c r="G344" s="91">
        <f t="shared" si="179"/>
        <v>12.375</v>
      </c>
      <c r="H344" s="12">
        <f t="shared" si="178"/>
        <v>118.80000000000001</v>
      </c>
      <c r="I344" s="22">
        <v>34</v>
      </c>
      <c r="J344" s="11">
        <f>F344</f>
        <v>9.9</v>
      </c>
      <c r="K344" s="10">
        <f>J344*1.2735</f>
        <v>12.607650000000001</v>
      </c>
      <c r="L344" s="12">
        <f>I344*K344</f>
        <v>428.66010000000006</v>
      </c>
      <c r="M344" s="11">
        <f>I344-E344</f>
        <v>22</v>
      </c>
      <c r="N344" s="11">
        <f>J344</f>
        <v>9.9</v>
      </c>
      <c r="O344" s="10">
        <f>N344*1.2735</f>
        <v>12.607650000000001</v>
      </c>
      <c r="P344" s="12">
        <f>M344*O344</f>
        <v>277.36830000000003</v>
      </c>
      <c r="Q344" s="148"/>
      <c r="R344" s="74"/>
      <c r="S344" s="47">
        <f>F344-'[1]CORREÇÃO DOS ITENS DIVERGENTES'!$P311</f>
        <v>-5.6131184270799395</v>
      </c>
      <c r="T344" s="12">
        <f t="shared" si="177"/>
        <v>148.5</v>
      </c>
      <c r="V344" s="36"/>
    </row>
    <row r="345" spans="1:22" ht="22.5">
      <c r="A345" s="118">
        <v>25042000</v>
      </c>
      <c r="B345" s="89">
        <v>91926</v>
      </c>
      <c r="C345" s="89" t="s">
        <v>425</v>
      </c>
      <c r="D345" s="90" t="s">
        <v>102</v>
      </c>
      <c r="E345" s="91">
        <v>2164.86</v>
      </c>
      <c r="F345" s="35">
        <v>2.7</v>
      </c>
      <c r="G345" s="91">
        <f t="shared" si="179"/>
        <v>3.375</v>
      </c>
      <c r="H345" s="12">
        <f t="shared" si="178"/>
        <v>5845.1220000000003</v>
      </c>
      <c r="I345" s="22"/>
      <c r="J345" s="11"/>
      <c r="K345" s="10"/>
      <c r="L345" s="12"/>
      <c r="M345" s="11"/>
      <c r="N345" s="11"/>
      <c r="O345" s="10"/>
      <c r="P345" s="12"/>
      <c r="Q345" s="148"/>
      <c r="R345" s="74"/>
      <c r="S345" s="47"/>
      <c r="T345" s="12">
        <f t="shared" si="177"/>
        <v>7306.4025000000001</v>
      </c>
      <c r="V345" s="41"/>
    </row>
    <row r="346" spans="1:22" ht="22.5">
      <c r="A346" s="118">
        <v>25043000</v>
      </c>
      <c r="B346" s="89">
        <f>B345</f>
        <v>91926</v>
      </c>
      <c r="C346" s="89" t="s">
        <v>426</v>
      </c>
      <c r="D346" s="90" t="s">
        <v>102</v>
      </c>
      <c r="E346" s="91">
        <v>2264.5700000000002</v>
      </c>
      <c r="F346" s="35">
        <f>F345</f>
        <v>2.7</v>
      </c>
      <c r="G346" s="91">
        <f t="shared" si="179"/>
        <v>3.375</v>
      </c>
      <c r="H346" s="12">
        <f t="shared" si="178"/>
        <v>6114.3390000000009</v>
      </c>
      <c r="I346" s="22"/>
      <c r="J346" s="11"/>
      <c r="K346" s="10"/>
      <c r="L346" s="12"/>
      <c r="M346" s="11"/>
      <c r="N346" s="11"/>
      <c r="O346" s="10"/>
      <c r="P346" s="12"/>
      <c r="Q346" s="148"/>
      <c r="R346" s="74"/>
      <c r="S346" s="47"/>
      <c r="T346" s="12">
        <f t="shared" si="177"/>
        <v>7642.9237500000008</v>
      </c>
      <c r="V346" s="41"/>
    </row>
    <row r="347" spans="1:22" ht="22.5">
      <c r="A347" s="118">
        <v>25044000</v>
      </c>
      <c r="B347" s="89">
        <f>B346</f>
        <v>91926</v>
      </c>
      <c r="C347" s="89" t="s">
        <v>427</v>
      </c>
      <c r="D347" s="90" t="s">
        <v>102</v>
      </c>
      <c r="E347" s="91">
        <v>440.77</v>
      </c>
      <c r="F347" s="35">
        <f>F346</f>
        <v>2.7</v>
      </c>
      <c r="G347" s="91">
        <f t="shared" si="179"/>
        <v>3.375</v>
      </c>
      <c r="H347" s="12">
        <f t="shared" si="178"/>
        <v>1190.079</v>
      </c>
      <c r="I347" s="22"/>
      <c r="J347" s="11"/>
      <c r="K347" s="10"/>
      <c r="L347" s="12"/>
      <c r="M347" s="11"/>
      <c r="N347" s="11"/>
      <c r="O347" s="10"/>
      <c r="P347" s="12"/>
      <c r="Q347" s="148"/>
      <c r="R347" s="74"/>
      <c r="S347" s="47"/>
      <c r="T347" s="12">
        <f t="shared" si="177"/>
        <v>1487.5987499999999</v>
      </c>
      <c r="V347" s="41"/>
    </row>
    <row r="348" spans="1:22" ht="22.5">
      <c r="A348" s="118">
        <v>25045000</v>
      </c>
      <c r="B348" s="89">
        <f>B347</f>
        <v>91926</v>
      </c>
      <c r="C348" s="89" t="s">
        <v>428</v>
      </c>
      <c r="D348" s="90" t="s">
        <v>102</v>
      </c>
      <c r="E348" s="91">
        <v>2264.5700000000002</v>
      </c>
      <c r="F348" s="35">
        <f>F347</f>
        <v>2.7</v>
      </c>
      <c r="G348" s="91">
        <f t="shared" si="179"/>
        <v>3.375</v>
      </c>
      <c r="H348" s="12">
        <f t="shared" si="178"/>
        <v>6114.3390000000009</v>
      </c>
      <c r="I348" s="22"/>
      <c r="J348" s="11"/>
      <c r="K348" s="10"/>
      <c r="L348" s="12"/>
      <c r="M348" s="11"/>
      <c r="N348" s="11"/>
      <c r="O348" s="10"/>
      <c r="P348" s="12"/>
      <c r="Q348" s="148"/>
      <c r="R348" s="74"/>
      <c r="S348" s="47"/>
      <c r="T348" s="12">
        <f t="shared" si="177"/>
        <v>7642.9237500000008</v>
      </c>
      <c r="V348" s="41"/>
    </row>
    <row r="349" spans="1:22" ht="22.5" hidden="1">
      <c r="A349" s="118">
        <v>25042000</v>
      </c>
      <c r="B349" s="89" t="s">
        <v>429</v>
      </c>
      <c r="C349" s="89" t="s">
        <v>425</v>
      </c>
      <c r="D349" s="90" t="s">
        <v>102</v>
      </c>
      <c r="E349" s="91">
        <v>2164.86</v>
      </c>
      <c r="F349" s="11">
        <f>VLOOKUP(A349,'[1]CORREÇÃO DOS ITENS DIVERGENTES'!$A$13:$G$490,7)</f>
        <v>1.4014137858654265</v>
      </c>
      <c r="G349" s="91">
        <f t="shared" si="179"/>
        <v>1.7517672323317832</v>
      </c>
      <c r="H349" s="12">
        <f t="shared" ref="H349:H369" si="180">E349*G349</f>
        <v>3792.3308105857845</v>
      </c>
      <c r="I349" s="22">
        <f>2164.86+M349</f>
        <v>2800</v>
      </c>
      <c r="J349" s="11">
        <f t="shared" ref="J349:J369" si="181">F349</f>
        <v>1.4014137858654265</v>
      </c>
      <c r="K349" s="10">
        <f t="shared" ref="K349:K369" si="182">J349*1.2735</f>
        <v>1.7847004562996207</v>
      </c>
      <c r="L349" s="12">
        <f t="shared" si="176"/>
        <v>4997.1612776389384</v>
      </c>
      <c r="M349" s="11">
        <f>2800-2164.86</f>
        <v>635.13999999999987</v>
      </c>
      <c r="N349" s="11">
        <f t="shared" si="174"/>
        <v>1.4014137858654265</v>
      </c>
      <c r="O349" s="10">
        <f t="shared" ref="O349:O369" si="183">N349*1.2735</f>
        <v>1.7847004562996207</v>
      </c>
      <c r="P349" s="12">
        <f t="shared" si="175"/>
        <v>1133.534647814141</v>
      </c>
      <c r="Q349" s="148"/>
      <c r="R349" s="74"/>
      <c r="S349" s="47">
        <f>F349-'[1]CORREÇÃO DOS ITENS DIVERGENTES'!$P312</f>
        <v>0</v>
      </c>
      <c r="T349" s="12">
        <f t="shared" si="177"/>
        <v>3792.3308105857845</v>
      </c>
      <c r="V349" s="41"/>
    </row>
    <row r="350" spans="1:22" ht="22.5" hidden="1">
      <c r="A350" s="118">
        <v>25043000</v>
      </c>
      <c r="B350" s="89" t="s">
        <v>430</v>
      </c>
      <c r="C350" s="89" t="s">
        <v>426</v>
      </c>
      <c r="D350" s="90" t="s">
        <v>102</v>
      </c>
      <c r="E350" s="91">
        <v>2264.5700000000002</v>
      </c>
      <c r="F350" s="11">
        <f>VLOOKUP(A350,'[1]CORREÇÃO DOS ITENS DIVERGENTES'!$A$13:$G$490,7)</f>
        <v>1.4014137858654265</v>
      </c>
      <c r="G350" s="91">
        <f t="shared" si="179"/>
        <v>1.7517672323317832</v>
      </c>
      <c r="H350" s="12">
        <f t="shared" si="180"/>
        <v>3966.9995213215866</v>
      </c>
      <c r="I350" s="22">
        <v>2264.5700000000002</v>
      </c>
      <c r="J350" s="11">
        <f t="shared" si="181"/>
        <v>1.4014137858654265</v>
      </c>
      <c r="K350" s="10">
        <f t="shared" si="182"/>
        <v>1.7847004562996207</v>
      </c>
      <c r="L350" s="12">
        <f t="shared" si="176"/>
        <v>4041.5791123224321</v>
      </c>
      <c r="M350" s="11">
        <v>0</v>
      </c>
      <c r="N350" s="11">
        <f t="shared" si="174"/>
        <v>1.4014137858654265</v>
      </c>
      <c r="O350" s="10">
        <f t="shared" si="183"/>
        <v>1.7847004562996207</v>
      </c>
      <c r="P350" s="12">
        <f t="shared" si="175"/>
        <v>0</v>
      </c>
      <c r="Q350" s="148"/>
      <c r="R350" s="74"/>
      <c r="S350" s="47">
        <f>F350-'[1]CORREÇÃO DOS ITENS DIVERGENTES'!$P313</f>
        <v>0</v>
      </c>
      <c r="T350" s="12">
        <f t="shared" si="177"/>
        <v>3966.9995213215866</v>
      </c>
      <c r="V350" s="41"/>
    </row>
    <row r="351" spans="1:22" ht="22.5" hidden="1">
      <c r="A351" s="118">
        <v>25044000</v>
      </c>
      <c r="B351" s="89" t="s">
        <v>431</v>
      </c>
      <c r="C351" s="89" t="s">
        <v>427</v>
      </c>
      <c r="D351" s="90" t="s">
        <v>102</v>
      </c>
      <c r="E351" s="91">
        <v>440.77</v>
      </c>
      <c r="F351" s="11">
        <f>VLOOKUP(A351,'[1]CORREÇÃO DOS ITENS DIVERGENTES'!$A$13:$G$490,7)</f>
        <v>1.4014137858654265</v>
      </c>
      <c r="G351" s="91">
        <f t="shared" si="179"/>
        <v>1.7517672323317832</v>
      </c>
      <c r="H351" s="12">
        <f t="shared" si="180"/>
        <v>772.12644299488011</v>
      </c>
      <c r="I351" s="22">
        <v>440.77</v>
      </c>
      <c r="J351" s="11">
        <f t="shared" si="181"/>
        <v>1.4014137858654265</v>
      </c>
      <c r="K351" s="10">
        <f t="shared" si="182"/>
        <v>1.7847004562996207</v>
      </c>
      <c r="L351" s="12">
        <f t="shared" si="176"/>
        <v>786.6424201231838</v>
      </c>
      <c r="M351" s="11">
        <v>0</v>
      </c>
      <c r="N351" s="11">
        <f t="shared" si="174"/>
        <v>1.4014137858654265</v>
      </c>
      <c r="O351" s="10">
        <f t="shared" si="183"/>
        <v>1.7847004562996207</v>
      </c>
      <c r="P351" s="12">
        <f t="shared" si="175"/>
        <v>0</v>
      </c>
      <c r="Q351" s="148"/>
      <c r="R351" s="74"/>
      <c r="S351" s="47">
        <f>F351-'[1]CORREÇÃO DOS ITENS DIVERGENTES'!$P314</f>
        <v>0</v>
      </c>
      <c r="T351" s="12">
        <f t="shared" si="177"/>
        <v>772.12644299488011</v>
      </c>
      <c r="V351" s="41"/>
    </row>
    <row r="352" spans="1:22" ht="22.5" hidden="1">
      <c r="A352" s="118">
        <v>25045000</v>
      </c>
      <c r="B352" s="89" t="s">
        <v>432</v>
      </c>
      <c r="C352" s="89" t="s">
        <v>428</v>
      </c>
      <c r="D352" s="90" t="s">
        <v>102</v>
      </c>
      <c r="E352" s="91">
        <v>2264.5700000000002</v>
      </c>
      <c r="F352" s="11">
        <f>VLOOKUP(A352,'[1]CORREÇÃO DOS ITENS DIVERGENTES'!$A$13:$G$490,7)</f>
        <v>1.4014137858654265</v>
      </c>
      <c r="G352" s="91">
        <f t="shared" si="179"/>
        <v>1.7517672323317832</v>
      </c>
      <c r="H352" s="12">
        <f t="shared" si="180"/>
        <v>3966.9995213215866</v>
      </c>
      <c r="I352" s="22">
        <f>2264.57+M352</f>
        <v>2464.5700000000002</v>
      </c>
      <c r="J352" s="11">
        <f t="shared" si="181"/>
        <v>1.4014137858654265</v>
      </c>
      <c r="K352" s="10">
        <f t="shared" si="182"/>
        <v>1.7847004562996207</v>
      </c>
      <c r="L352" s="12">
        <f t="shared" si="176"/>
        <v>4398.5192035823566</v>
      </c>
      <c r="M352" s="11">
        <f>2464.57-2264.57</f>
        <v>200</v>
      </c>
      <c r="N352" s="11">
        <f t="shared" si="174"/>
        <v>1.4014137858654265</v>
      </c>
      <c r="O352" s="10">
        <f t="shared" si="183"/>
        <v>1.7847004562996207</v>
      </c>
      <c r="P352" s="12">
        <f t="shared" si="175"/>
        <v>356.94009125992415</v>
      </c>
      <c r="Q352" s="148"/>
      <c r="R352" s="74"/>
      <c r="S352" s="47">
        <f>F352-'[1]CORREÇÃO DOS ITENS DIVERGENTES'!$P315</f>
        <v>0</v>
      </c>
      <c r="T352" s="12">
        <f t="shared" si="177"/>
        <v>3966.9995213215866</v>
      </c>
      <c r="V352" s="41"/>
    </row>
    <row r="353" spans="1:22" ht="22.5" hidden="1">
      <c r="A353" s="118">
        <v>25046000</v>
      </c>
      <c r="B353" s="89" t="s">
        <v>433</v>
      </c>
      <c r="C353" s="89" t="s">
        <v>434</v>
      </c>
      <c r="D353" s="90" t="s">
        <v>102</v>
      </c>
      <c r="E353" s="91">
        <v>442.73</v>
      </c>
      <c r="F353" s="11">
        <f>VLOOKUP(A353,'[1]CORREÇÃO DOS ITENS DIVERGENTES'!$A$13:$G$490,7)</f>
        <v>2.0577721412707524</v>
      </c>
      <c r="G353" s="91">
        <f t="shared" si="179"/>
        <v>2.5722151765884407</v>
      </c>
      <c r="H353" s="12">
        <f t="shared" si="180"/>
        <v>1138.7968251310003</v>
      </c>
      <c r="I353" s="22">
        <f>442.73+M353</f>
        <v>2042.73</v>
      </c>
      <c r="J353" s="11">
        <f t="shared" si="181"/>
        <v>2.0577721412707524</v>
      </c>
      <c r="K353" s="10">
        <f t="shared" si="182"/>
        <v>2.6205728219083033</v>
      </c>
      <c r="L353" s="12">
        <f t="shared" si="176"/>
        <v>5353.1227204967481</v>
      </c>
      <c r="M353" s="11">
        <f>2042.73-442.73</f>
        <v>1600</v>
      </c>
      <c r="N353" s="11">
        <f t="shared" si="174"/>
        <v>2.0577721412707524</v>
      </c>
      <c r="O353" s="10">
        <f t="shared" si="183"/>
        <v>2.6205728219083033</v>
      </c>
      <c r="P353" s="12">
        <f t="shared" si="175"/>
        <v>4192.9165150532854</v>
      </c>
      <c r="Q353" s="148"/>
      <c r="R353" s="74"/>
      <c r="S353" s="47">
        <f>F353-'[1]CORREÇÃO DOS ITENS DIVERGENTES'!$P316</f>
        <v>0</v>
      </c>
      <c r="T353" s="12">
        <f t="shared" si="177"/>
        <v>1138.7968251310003</v>
      </c>
      <c r="V353" s="41"/>
    </row>
    <row r="354" spans="1:22" ht="22.5" hidden="1">
      <c r="A354" s="118">
        <v>25047000</v>
      </c>
      <c r="B354" s="89" t="s">
        <v>435</v>
      </c>
      <c r="C354" s="89" t="s">
        <v>436</v>
      </c>
      <c r="D354" s="90" t="s">
        <v>102</v>
      </c>
      <c r="E354" s="91">
        <v>497.41</v>
      </c>
      <c r="F354" s="11">
        <f>VLOOKUP(A354,'[1]CORREÇÃO DOS ITENS DIVERGENTES'!$A$13:$G$490,7)</f>
        <v>2.0577721412707524</v>
      </c>
      <c r="G354" s="91">
        <f t="shared" si="179"/>
        <v>2.5722151765884407</v>
      </c>
      <c r="H354" s="12">
        <f t="shared" si="180"/>
        <v>1279.4455509868562</v>
      </c>
      <c r="I354" s="22">
        <f>497.41+M354</f>
        <v>1097.4100000000001</v>
      </c>
      <c r="J354" s="11">
        <f t="shared" si="181"/>
        <v>2.0577721412707524</v>
      </c>
      <c r="K354" s="10">
        <f t="shared" si="182"/>
        <v>2.6205728219083033</v>
      </c>
      <c r="L354" s="12">
        <f t="shared" si="176"/>
        <v>2875.8428204903912</v>
      </c>
      <c r="M354" s="11">
        <f>1097.41-497.41</f>
        <v>600</v>
      </c>
      <c r="N354" s="11">
        <f t="shared" si="174"/>
        <v>2.0577721412707524</v>
      </c>
      <c r="O354" s="10">
        <f t="shared" si="183"/>
        <v>2.6205728219083033</v>
      </c>
      <c r="P354" s="12">
        <f t="shared" si="175"/>
        <v>1572.3436931449819</v>
      </c>
      <c r="Q354" s="148"/>
      <c r="R354" s="74"/>
      <c r="S354" s="47">
        <f>F354-'[1]CORREÇÃO DOS ITENS DIVERGENTES'!$P317</f>
        <v>0</v>
      </c>
      <c r="T354" s="12">
        <f t="shared" si="177"/>
        <v>1279.4455509868562</v>
      </c>
      <c r="V354" s="41"/>
    </row>
    <row r="355" spans="1:22" ht="22.5" hidden="1">
      <c r="A355" s="118">
        <v>25048000</v>
      </c>
      <c r="B355" s="89" t="s">
        <v>437</v>
      </c>
      <c r="C355" s="89" t="s">
        <v>438</v>
      </c>
      <c r="D355" s="90" t="s">
        <v>102</v>
      </c>
      <c r="E355" s="91">
        <v>169.28</v>
      </c>
      <c r="F355" s="11">
        <f>VLOOKUP(A355,'[1]CORREÇÃO DOS ITENS DIVERGENTES'!$A$13:$G$490,7)</f>
        <v>2.0577721412707524</v>
      </c>
      <c r="G355" s="91">
        <f t="shared" si="179"/>
        <v>2.5722151765884407</v>
      </c>
      <c r="H355" s="12">
        <f t="shared" si="180"/>
        <v>435.42458509289122</v>
      </c>
      <c r="I355" s="22">
        <f>169.28+M355</f>
        <v>200</v>
      </c>
      <c r="J355" s="11">
        <f t="shared" si="181"/>
        <v>2.0577721412707524</v>
      </c>
      <c r="K355" s="10">
        <f t="shared" si="182"/>
        <v>2.6205728219083033</v>
      </c>
      <c r="L355" s="12">
        <f t="shared" si="176"/>
        <v>524.11456438166067</v>
      </c>
      <c r="M355" s="11">
        <f>200-169.28</f>
        <v>30.72</v>
      </c>
      <c r="N355" s="11">
        <f t="shared" si="174"/>
        <v>2.0577721412707524</v>
      </c>
      <c r="O355" s="10">
        <f t="shared" si="183"/>
        <v>2.6205728219083033</v>
      </c>
      <c r="P355" s="12">
        <f t="shared" si="175"/>
        <v>80.503997089023073</v>
      </c>
      <c r="Q355" s="148"/>
      <c r="R355" s="74"/>
      <c r="S355" s="47">
        <f>F355-'[1]CORREÇÃO DOS ITENS DIVERGENTES'!$P318</f>
        <v>0</v>
      </c>
      <c r="T355" s="12">
        <f t="shared" si="177"/>
        <v>435.42458509289122</v>
      </c>
      <c r="V355" s="41"/>
    </row>
    <row r="356" spans="1:22" ht="22.5" hidden="1">
      <c r="A356" s="118">
        <v>25049000</v>
      </c>
      <c r="B356" s="89" t="s">
        <v>439</v>
      </c>
      <c r="C356" s="89" t="s">
        <v>440</v>
      </c>
      <c r="D356" s="90" t="s">
        <v>102</v>
      </c>
      <c r="E356" s="91">
        <v>497.41</v>
      </c>
      <c r="F356" s="11">
        <f>VLOOKUP(A356,'[1]CORREÇÃO DOS ITENS DIVERGENTES'!$A$13:$G$490,7)</f>
        <v>2.0577721412707524</v>
      </c>
      <c r="G356" s="91">
        <f t="shared" si="179"/>
        <v>2.5722151765884407</v>
      </c>
      <c r="H356" s="12">
        <f t="shared" si="180"/>
        <v>1279.4455509868562</v>
      </c>
      <c r="I356" s="22">
        <f>497.41+M356</f>
        <v>600</v>
      </c>
      <c r="J356" s="11">
        <f t="shared" si="181"/>
        <v>2.0577721412707524</v>
      </c>
      <c r="K356" s="10">
        <f t="shared" si="182"/>
        <v>2.6205728219083033</v>
      </c>
      <c r="L356" s="12">
        <f t="shared" si="176"/>
        <v>1572.3436931449819</v>
      </c>
      <c r="M356" s="11">
        <f>600-497.41</f>
        <v>102.58999999999997</v>
      </c>
      <c r="N356" s="11">
        <f t="shared" si="174"/>
        <v>2.0577721412707524</v>
      </c>
      <c r="O356" s="10">
        <f t="shared" si="183"/>
        <v>2.6205728219083033</v>
      </c>
      <c r="P356" s="12">
        <f t="shared" si="175"/>
        <v>268.84456579957276</v>
      </c>
      <c r="Q356" s="148"/>
      <c r="R356" s="74"/>
      <c r="S356" s="47">
        <f>F356-'[1]CORREÇÃO DOS ITENS DIVERGENTES'!$P319</f>
        <v>0</v>
      </c>
      <c r="T356" s="12">
        <f t="shared" si="177"/>
        <v>1279.4455509868562</v>
      </c>
      <c r="V356" s="41"/>
    </row>
    <row r="357" spans="1:22" ht="22.5" hidden="1">
      <c r="A357" s="118">
        <v>25050000</v>
      </c>
      <c r="B357" s="89" t="s">
        <v>441</v>
      </c>
      <c r="C357" s="89" t="s">
        <v>442</v>
      </c>
      <c r="D357" s="90" t="s">
        <v>102</v>
      </c>
      <c r="E357" s="91">
        <v>348.09</v>
      </c>
      <c r="F357" s="11">
        <f>VLOOKUP(A357,'[1]CORREÇÃO DOS ITENS DIVERGENTES'!$A$13:$G$490,7)</f>
        <v>4.3106778476620082</v>
      </c>
      <c r="G357" s="91">
        <f t="shared" si="179"/>
        <v>5.3883473095775098</v>
      </c>
      <c r="H357" s="12">
        <f t="shared" si="180"/>
        <v>1875.6298149908353</v>
      </c>
      <c r="I357" s="22">
        <v>348.09</v>
      </c>
      <c r="J357" s="11">
        <f t="shared" si="181"/>
        <v>4.3106778476620082</v>
      </c>
      <c r="K357" s="10">
        <f t="shared" si="182"/>
        <v>5.4896482389975674</v>
      </c>
      <c r="L357" s="12">
        <f t="shared" si="176"/>
        <v>1910.8916555126632</v>
      </c>
      <c r="M357" s="11">
        <v>0</v>
      </c>
      <c r="N357" s="11">
        <f t="shared" si="174"/>
        <v>4.3106778476620082</v>
      </c>
      <c r="O357" s="10">
        <f t="shared" si="183"/>
        <v>5.4896482389975674</v>
      </c>
      <c r="P357" s="12">
        <f t="shared" si="175"/>
        <v>0</v>
      </c>
      <c r="Q357" s="148"/>
      <c r="R357" s="74"/>
      <c r="S357" s="47">
        <f>F357-'[1]CORREÇÃO DOS ITENS DIVERGENTES'!$P320</f>
        <v>0</v>
      </c>
      <c r="T357" s="12">
        <f t="shared" si="177"/>
        <v>1875.6298149908353</v>
      </c>
      <c r="V357" s="41"/>
    </row>
    <row r="358" spans="1:22" ht="22.5" hidden="1">
      <c r="A358" s="118">
        <v>25051000</v>
      </c>
      <c r="B358" s="89" t="s">
        <v>443</v>
      </c>
      <c r="C358" s="89" t="s">
        <v>444</v>
      </c>
      <c r="D358" s="90" t="s">
        <v>102</v>
      </c>
      <c r="E358" s="91">
        <v>116.03</v>
      </c>
      <c r="F358" s="11">
        <f>VLOOKUP(A358,'[1]CORREÇÃO DOS ITENS DIVERGENTES'!$A$13:$G$490,7)</f>
        <v>4.3106778476620082</v>
      </c>
      <c r="G358" s="91">
        <f t="shared" si="179"/>
        <v>5.3883473095775098</v>
      </c>
      <c r="H358" s="12">
        <f t="shared" si="180"/>
        <v>625.20993833027842</v>
      </c>
      <c r="I358" s="22">
        <v>116.03</v>
      </c>
      <c r="J358" s="11">
        <f t="shared" si="181"/>
        <v>4.3106778476620082</v>
      </c>
      <c r="K358" s="10">
        <f t="shared" si="182"/>
        <v>5.4896482389975674</v>
      </c>
      <c r="L358" s="12">
        <f t="shared" si="176"/>
        <v>636.96388517088769</v>
      </c>
      <c r="M358" s="11">
        <v>0</v>
      </c>
      <c r="N358" s="11">
        <f t="shared" si="174"/>
        <v>4.3106778476620082</v>
      </c>
      <c r="O358" s="10">
        <f t="shared" si="183"/>
        <v>5.4896482389975674</v>
      </c>
      <c r="P358" s="12">
        <f t="shared" si="175"/>
        <v>0</v>
      </c>
      <c r="Q358" s="148"/>
      <c r="R358" s="74"/>
      <c r="S358" s="47">
        <f>F358-'[1]CORREÇÃO DOS ITENS DIVERGENTES'!$P321</f>
        <v>0</v>
      </c>
      <c r="T358" s="12">
        <f t="shared" si="177"/>
        <v>625.20993833027842</v>
      </c>
      <c r="V358" s="41"/>
    </row>
    <row r="359" spans="1:22" ht="22.5" hidden="1">
      <c r="A359" s="118">
        <v>25052000</v>
      </c>
      <c r="B359" s="89" t="s">
        <v>445</v>
      </c>
      <c r="C359" s="89" t="s">
        <v>446</v>
      </c>
      <c r="D359" s="90" t="s">
        <v>102</v>
      </c>
      <c r="E359" s="91">
        <v>116.03</v>
      </c>
      <c r="F359" s="11">
        <f>VLOOKUP(A359,'[1]CORREÇÃO DOS ITENS DIVERGENTES'!$A$13:$G$490,7)</f>
        <v>4.3106778476620082</v>
      </c>
      <c r="G359" s="91">
        <f t="shared" si="179"/>
        <v>5.3883473095775098</v>
      </c>
      <c r="H359" s="12">
        <f t="shared" si="180"/>
        <v>625.20993833027842</v>
      </c>
      <c r="I359" s="22">
        <v>116.03</v>
      </c>
      <c r="J359" s="11">
        <f t="shared" si="181"/>
        <v>4.3106778476620082</v>
      </c>
      <c r="K359" s="10">
        <f t="shared" si="182"/>
        <v>5.4896482389975674</v>
      </c>
      <c r="L359" s="12">
        <f t="shared" si="176"/>
        <v>636.96388517088769</v>
      </c>
      <c r="M359" s="11">
        <v>0</v>
      </c>
      <c r="N359" s="11">
        <f t="shared" si="174"/>
        <v>4.3106778476620082</v>
      </c>
      <c r="O359" s="10">
        <f t="shared" si="183"/>
        <v>5.4896482389975674</v>
      </c>
      <c r="P359" s="12">
        <f t="shared" si="175"/>
        <v>0</v>
      </c>
      <c r="Q359" s="148"/>
      <c r="R359" s="74"/>
      <c r="S359" s="47">
        <f>F359-'[1]CORREÇÃO DOS ITENS DIVERGENTES'!$P322</f>
        <v>0</v>
      </c>
      <c r="T359" s="12">
        <f t="shared" si="177"/>
        <v>625.20993833027842</v>
      </c>
      <c r="V359" s="41"/>
    </row>
    <row r="360" spans="1:22" ht="22.5" hidden="1">
      <c r="A360" s="118">
        <v>25053000</v>
      </c>
      <c r="B360" s="89" t="s">
        <v>447</v>
      </c>
      <c r="C360" s="89" t="s">
        <v>448</v>
      </c>
      <c r="D360" s="90" t="s">
        <v>102</v>
      </c>
      <c r="E360" s="91">
        <v>52.52</v>
      </c>
      <c r="F360" s="11">
        <f>VLOOKUP(A360,'[1]CORREÇÃO DOS ITENS DIVERGENTES'!$A$13:$G$490,7)</f>
        <v>4.9581664955618567</v>
      </c>
      <c r="G360" s="91">
        <f t="shared" si="179"/>
        <v>6.1977081194523205</v>
      </c>
      <c r="H360" s="12">
        <f t="shared" si="180"/>
        <v>325.50363043363586</v>
      </c>
      <c r="I360" s="22">
        <v>52.52</v>
      </c>
      <c r="J360" s="11">
        <f t="shared" si="181"/>
        <v>4.9581664955618567</v>
      </c>
      <c r="K360" s="10">
        <f t="shared" si="182"/>
        <v>6.3142250320980251</v>
      </c>
      <c r="L360" s="12">
        <f t="shared" si="176"/>
        <v>331.62309868578831</v>
      </c>
      <c r="M360" s="11">
        <v>0</v>
      </c>
      <c r="N360" s="11">
        <f t="shared" si="174"/>
        <v>4.9581664955618567</v>
      </c>
      <c r="O360" s="10">
        <f t="shared" si="183"/>
        <v>6.3142250320980251</v>
      </c>
      <c r="P360" s="12">
        <f t="shared" si="175"/>
        <v>0</v>
      </c>
      <c r="Q360" s="148"/>
      <c r="R360" s="74"/>
      <c r="S360" s="47">
        <f>F360-'[1]CORREÇÃO DOS ITENS DIVERGENTES'!$P323</f>
        <v>0</v>
      </c>
      <c r="T360" s="12">
        <f t="shared" si="177"/>
        <v>325.50363043363586</v>
      </c>
      <c r="V360" s="41"/>
    </row>
    <row r="361" spans="1:22" ht="22.5" hidden="1">
      <c r="A361" s="118">
        <v>25054000</v>
      </c>
      <c r="B361" s="89" t="s">
        <v>449</v>
      </c>
      <c r="C361" s="89" t="s">
        <v>450</v>
      </c>
      <c r="D361" s="90" t="s">
        <v>102</v>
      </c>
      <c r="E361" s="91">
        <v>17.510000000000002</v>
      </c>
      <c r="F361" s="11">
        <f>VLOOKUP(A361,'[1]CORREÇÃO DOS ITENS DIVERGENTES'!$A$13:$G$490,7)</f>
        <v>4.9581664955618567</v>
      </c>
      <c r="G361" s="91">
        <f t="shared" si="179"/>
        <v>6.1977081194523205</v>
      </c>
      <c r="H361" s="12">
        <f t="shared" si="180"/>
        <v>108.52186917161013</v>
      </c>
      <c r="I361" s="22">
        <v>17.510000000000002</v>
      </c>
      <c r="J361" s="11">
        <f t="shared" si="181"/>
        <v>4.9581664955618567</v>
      </c>
      <c r="K361" s="10">
        <f t="shared" si="182"/>
        <v>6.3142250320980251</v>
      </c>
      <c r="L361" s="12">
        <f t="shared" si="176"/>
        <v>110.56208031203643</v>
      </c>
      <c r="M361" s="11">
        <v>0</v>
      </c>
      <c r="N361" s="11">
        <f t="shared" si="174"/>
        <v>4.9581664955618567</v>
      </c>
      <c r="O361" s="10">
        <f t="shared" si="183"/>
        <v>6.3142250320980251</v>
      </c>
      <c r="P361" s="12">
        <f t="shared" si="175"/>
        <v>0</v>
      </c>
      <c r="Q361" s="148"/>
      <c r="R361" s="74"/>
      <c r="S361" s="47">
        <f>F361-'[1]CORREÇÃO DOS ITENS DIVERGENTES'!$P324</f>
        <v>0</v>
      </c>
      <c r="T361" s="12">
        <f t="shared" si="177"/>
        <v>108.52186917161013</v>
      </c>
      <c r="V361" s="41"/>
    </row>
    <row r="362" spans="1:22" ht="22.5" hidden="1">
      <c r="A362" s="118">
        <v>25055000</v>
      </c>
      <c r="B362" s="89" t="s">
        <v>451</v>
      </c>
      <c r="C362" s="89" t="s">
        <v>452</v>
      </c>
      <c r="D362" s="90" t="s">
        <v>102</v>
      </c>
      <c r="E362" s="91">
        <v>17.510000000000002</v>
      </c>
      <c r="F362" s="11">
        <f>VLOOKUP(A362,'[1]CORREÇÃO DOS ITENS DIVERGENTES'!$A$13:$G$490,7)</f>
        <v>4.9581664955618567</v>
      </c>
      <c r="G362" s="91">
        <f t="shared" si="179"/>
        <v>6.1977081194523205</v>
      </c>
      <c r="H362" s="12">
        <f t="shared" si="180"/>
        <v>108.52186917161013</v>
      </c>
      <c r="I362" s="22">
        <v>0</v>
      </c>
      <c r="J362" s="11">
        <f t="shared" si="181"/>
        <v>4.9581664955618567</v>
      </c>
      <c r="K362" s="10">
        <f t="shared" si="182"/>
        <v>6.3142250320980251</v>
      </c>
      <c r="L362" s="12">
        <f t="shared" si="176"/>
        <v>0</v>
      </c>
      <c r="M362" s="11">
        <f>I362-E362</f>
        <v>-17.510000000000002</v>
      </c>
      <c r="N362" s="11">
        <f t="shared" si="174"/>
        <v>4.9581664955618567</v>
      </c>
      <c r="O362" s="10">
        <f t="shared" si="183"/>
        <v>6.3142250320980251</v>
      </c>
      <c r="P362" s="12">
        <f t="shared" si="175"/>
        <v>-110.56208031203643</v>
      </c>
      <c r="Q362" s="148"/>
      <c r="R362" s="74"/>
      <c r="S362" s="47">
        <f>F362-'[1]CORREÇÃO DOS ITENS DIVERGENTES'!$P325</f>
        <v>0</v>
      </c>
      <c r="T362" s="12">
        <f t="shared" si="177"/>
        <v>108.52186917161013</v>
      </c>
      <c r="V362" s="41"/>
    </row>
    <row r="363" spans="1:22" ht="22.5" hidden="1">
      <c r="A363" s="118">
        <v>25056000</v>
      </c>
      <c r="B363" s="89" t="s">
        <v>453</v>
      </c>
      <c r="C363" s="89" t="s">
        <v>454</v>
      </c>
      <c r="D363" s="90" t="s">
        <v>19</v>
      </c>
      <c r="E363" s="91">
        <v>13</v>
      </c>
      <c r="F363" s="11">
        <f>VLOOKUP(A363,'[1]CORREÇÃO DOS ITENS DIVERGENTES'!$A$13:$G$490,7)</f>
        <v>6.5635835540532632</v>
      </c>
      <c r="G363" s="91">
        <f t="shared" si="179"/>
        <v>8.2044794425665799</v>
      </c>
      <c r="H363" s="12">
        <f t="shared" si="180"/>
        <v>106.65823275336554</v>
      </c>
      <c r="I363" s="22">
        <v>13</v>
      </c>
      <c r="J363" s="11">
        <f t="shared" si="181"/>
        <v>6.5635835540532632</v>
      </c>
      <c r="K363" s="10">
        <f t="shared" si="182"/>
        <v>8.3587236560868305</v>
      </c>
      <c r="L363" s="12">
        <f t="shared" si="176"/>
        <v>108.66340752912879</v>
      </c>
      <c r="M363" s="11">
        <v>0</v>
      </c>
      <c r="N363" s="11">
        <f t="shared" si="174"/>
        <v>6.5635835540532632</v>
      </c>
      <c r="O363" s="10">
        <f t="shared" si="183"/>
        <v>8.3587236560868305</v>
      </c>
      <c r="P363" s="12">
        <f t="shared" si="175"/>
        <v>0</v>
      </c>
      <c r="Q363" s="148"/>
      <c r="R363" s="74"/>
      <c r="S363" s="47">
        <f>F363-'[1]CORREÇÃO DOS ITENS DIVERGENTES'!$P326</f>
        <v>0</v>
      </c>
      <c r="T363" s="12">
        <f t="shared" si="177"/>
        <v>106.65823275336554</v>
      </c>
      <c r="V363" s="41"/>
    </row>
    <row r="364" spans="1:22" ht="22.5" hidden="1">
      <c r="A364" s="118">
        <v>25057000</v>
      </c>
      <c r="B364" s="89" t="s">
        <v>455</v>
      </c>
      <c r="C364" s="89" t="s">
        <v>456</v>
      </c>
      <c r="D364" s="90" t="s">
        <v>19</v>
      </c>
      <c r="E364" s="91">
        <v>2</v>
      </c>
      <c r="F364" s="11">
        <f>VLOOKUP(A364,'[1]CORREÇÃO DOS ITENS DIVERGENTES'!$A$13:$G$490,7)</f>
        <v>6.5635835540532632</v>
      </c>
      <c r="G364" s="91">
        <f t="shared" si="179"/>
        <v>8.2044794425665799</v>
      </c>
      <c r="H364" s="12">
        <f t="shared" si="180"/>
        <v>16.40895888513316</v>
      </c>
      <c r="I364" s="22">
        <v>2</v>
      </c>
      <c r="J364" s="11">
        <f t="shared" si="181"/>
        <v>6.5635835540532632</v>
      </c>
      <c r="K364" s="10">
        <f t="shared" si="182"/>
        <v>8.3587236560868305</v>
      </c>
      <c r="L364" s="12">
        <f t="shared" si="176"/>
        <v>16.717447312173661</v>
      </c>
      <c r="M364" s="11">
        <v>0</v>
      </c>
      <c r="N364" s="11">
        <f t="shared" si="174"/>
        <v>6.5635835540532632</v>
      </c>
      <c r="O364" s="10">
        <f t="shared" si="183"/>
        <v>8.3587236560868305</v>
      </c>
      <c r="P364" s="12">
        <f t="shared" si="175"/>
        <v>0</v>
      </c>
      <c r="Q364" s="148"/>
      <c r="R364" s="74"/>
      <c r="S364" s="47">
        <f>F364-'[1]CORREÇÃO DOS ITENS DIVERGENTES'!$P327</f>
        <v>0</v>
      </c>
      <c r="T364" s="12">
        <f t="shared" si="177"/>
        <v>16.40895888513316</v>
      </c>
      <c r="V364" s="41"/>
    </row>
    <row r="365" spans="1:22" ht="22.5" hidden="1">
      <c r="A365" s="118">
        <v>25058000</v>
      </c>
      <c r="B365" s="89" t="s">
        <v>457</v>
      </c>
      <c r="C365" s="89" t="s">
        <v>458</v>
      </c>
      <c r="D365" s="90" t="s">
        <v>19</v>
      </c>
      <c r="E365" s="91">
        <v>33</v>
      </c>
      <c r="F365" s="11">
        <f>VLOOKUP(A365,'[1]CORREÇÃO DOS ITENS DIVERGENTES'!$A$13:$G$490,7)</f>
        <v>6.5635835540532632</v>
      </c>
      <c r="G365" s="91">
        <f t="shared" si="179"/>
        <v>8.2044794425665799</v>
      </c>
      <c r="H365" s="12">
        <f t="shared" si="180"/>
        <v>270.74782160469715</v>
      </c>
      <c r="I365" s="22">
        <v>33</v>
      </c>
      <c r="J365" s="11">
        <f t="shared" si="181"/>
        <v>6.5635835540532632</v>
      </c>
      <c r="K365" s="10">
        <f t="shared" si="182"/>
        <v>8.3587236560868305</v>
      </c>
      <c r="L365" s="12">
        <f t="shared" si="176"/>
        <v>275.83788065086543</v>
      </c>
      <c r="M365" s="11">
        <v>0</v>
      </c>
      <c r="N365" s="11">
        <f t="shared" si="174"/>
        <v>6.5635835540532632</v>
      </c>
      <c r="O365" s="10">
        <f t="shared" si="183"/>
        <v>8.3587236560868305</v>
      </c>
      <c r="P365" s="12">
        <f t="shared" si="175"/>
        <v>0</v>
      </c>
      <c r="Q365" s="148"/>
      <c r="R365" s="74"/>
      <c r="S365" s="47">
        <f>F365-'[1]CORREÇÃO DOS ITENS DIVERGENTES'!$P328</f>
        <v>0</v>
      </c>
      <c r="T365" s="12">
        <f t="shared" si="177"/>
        <v>270.74782160469715</v>
      </c>
      <c r="V365" s="41"/>
    </row>
    <row r="366" spans="1:22" ht="22.5" hidden="1">
      <c r="A366" s="118">
        <v>25059000</v>
      </c>
      <c r="B366" s="89" t="s">
        <v>459</v>
      </c>
      <c r="C366" s="89" t="s">
        <v>460</v>
      </c>
      <c r="D366" s="90" t="s">
        <v>19</v>
      </c>
      <c r="E366" s="91">
        <v>4</v>
      </c>
      <c r="F366" s="11">
        <f>VLOOKUP(A366,'[1]CORREÇÃO DOS ITENS DIVERGENTES'!$A$13:$G$490,7)</f>
        <v>8.7987498454335622</v>
      </c>
      <c r="G366" s="91">
        <f t="shared" si="179"/>
        <v>10.998437306791953</v>
      </c>
      <c r="H366" s="12">
        <f t="shared" si="180"/>
        <v>43.993749227167811</v>
      </c>
      <c r="I366" s="22">
        <v>4</v>
      </c>
      <c r="J366" s="11">
        <f t="shared" si="181"/>
        <v>8.7987498454335622</v>
      </c>
      <c r="K366" s="10">
        <f t="shared" si="182"/>
        <v>11.205207928159641</v>
      </c>
      <c r="L366" s="12">
        <f t="shared" si="176"/>
        <v>44.820831712638565</v>
      </c>
      <c r="M366" s="11">
        <v>0</v>
      </c>
      <c r="N366" s="11">
        <f t="shared" si="174"/>
        <v>8.7987498454335622</v>
      </c>
      <c r="O366" s="10">
        <f t="shared" si="183"/>
        <v>11.205207928159641</v>
      </c>
      <c r="P366" s="12">
        <f t="shared" si="175"/>
        <v>0</v>
      </c>
      <c r="Q366" s="148"/>
      <c r="R366" s="74"/>
      <c r="S366" s="47">
        <f>F366-'[1]CORREÇÃO DOS ITENS DIVERGENTES'!$P329</f>
        <v>0</v>
      </c>
      <c r="T366" s="12">
        <f t="shared" si="177"/>
        <v>43.993749227167811</v>
      </c>
      <c r="V366" s="41"/>
    </row>
    <row r="367" spans="1:22" ht="33.75" hidden="1">
      <c r="A367" s="118">
        <v>25060000</v>
      </c>
      <c r="B367" s="89" t="s">
        <v>461</v>
      </c>
      <c r="C367" s="89" t="s">
        <v>462</v>
      </c>
      <c r="D367" s="90" t="s">
        <v>19</v>
      </c>
      <c r="E367" s="91">
        <v>3</v>
      </c>
      <c r="F367" s="11">
        <f>VLOOKUP(A367,'[1]CORREÇÃO DOS ITENS DIVERGENTES'!$A$13:$G$490,7)</f>
        <v>280.00779624041547</v>
      </c>
      <c r="G367" s="91">
        <f t="shared" si="179"/>
        <v>350.00974530051934</v>
      </c>
      <c r="H367" s="12">
        <f t="shared" si="180"/>
        <v>1050.029235901558</v>
      </c>
      <c r="I367" s="22">
        <v>3</v>
      </c>
      <c r="J367" s="11">
        <f t="shared" si="181"/>
        <v>280.00779624041547</v>
      </c>
      <c r="K367" s="10">
        <f t="shared" si="182"/>
        <v>356.58992851216914</v>
      </c>
      <c r="L367" s="12">
        <f t="shared" si="176"/>
        <v>1069.7697855365075</v>
      </c>
      <c r="M367" s="11">
        <v>0</v>
      </c>
      <c r="N367" s="11">
        <f t="shared" si="174"/>
        <v>280.00779624041547</v>
      </c>
      <c r="O367" s="10">
        <f t="shared" si="183"/>
        <v>356.58992851216914</v>
      </c>
      <c r="P367" s="12">
        <f t="shared" si="175"/>
        <v>0</v>
      </c>
      <c r="Q367" s="148"/>
      <c r="R367" s="74"/>
      <c r="S367" s="47">
        <f>F367-'[1]CORREÇÃO DOS ITENS DIVERGENTES'!$P330</f>
        <v>0</v>
      </c>
      <c r="T367" s="12">
        <f t="shared" si="177"/>
        <v>1050.029235901558</v>
      </c>
      <c r="V367" s="41"/>
    </row>
    <row r="368" spans="1:22" ht="33.75" hidden="1">
      <c r="A368" s="118">
        <v>25061000</v>
      </c>
      <c r="B368" s="89" t="s">
        <v>463</v>
      </c>
      <c r="C368" s="89" t="s">
        <v>464</v>
      </c>
      <c r="D368" s="90" t="s">
        <v>19</v>
      </c>
      <c r="E368" s="91">
        <v>1</v>
      </c>
      <c r="F368" s="11">
        <f>VLOOKUP(A368,'[1]CORREÇÃO DOS ITENS DIVERGENTES'!$A$13:$G$490,7)</f>
        <v>458.93640574841066</v>
      </c>
      <c r="G368" s="91">
        <f t="shared" si="179"/>
        <v>573.67050718551332</v>
      </c>
      <c r="H368" s="12">
        <f t="shared" si="180"/>
        <v>573.67050718551332</v>
      </c>
      <c r="I368" s="22">
        <v>1</v>
      </c>
      <c r="J368" s="11">
        <f t="shared" si="181"/>
        <v>458.93640574841066</v>
      </c>
      <c r="K368" s="10">
        <f t="shared" si="182"/>
        <v>584.45551272060106</v>
      </c>
      <c r="L368" s="12">
        <f t="shared" si="176"/>
        <v>584.45551272060106</v>
      </c>
      <c r="M368" s="11">
        <v>0</v>
      </c>
      <c r="N368" s="11">
        <f t="shared" si="174"/>
        <v>458.93640574841066</v>
      </c>
      <c r="O368" s="10">
        <f t="shared" si="183"/>
        <v>584.45551272060106</v>
      </c>
      <c r="P368" s="12">
        <f t="shared" si="175"/>
        <v>0</v>
      </c>
      <c r="Q368" s="148"/>
      <c r="R368" s="74"/>
      <c r="S368" s="47">
        <f>F368-'[1]CORREÇÃO DOS ITENS DIVERGENTES'!$P331</f>
        <v>0</v>
      </c>
      <c r="T368" s="12">
        <f t="shared" si="177"/>
        <v>573.67050718551332</v>
      </c>
      <c r="V368" s="41"/>
    </row>
    <row r="369" spans="1:22" ht="22.5" hidden="1">
      <c r="A369" s="118">
        <v>25062000</v>
      </c>
      <c r="B369" s="89" t="s">
        <v>465</v>
      </c>
      <c r="C369" s="89" t="s">
        <v>466</v>
      </c>
      <c r="D369" s="90" t="s">
        <v>19</v>
      </c>
      <c r="E369" s="91">
        <v>6</v>
      </c>
      <c r="F369" s="11">
        <f>VLOOKUP(A369,'[1]CORREÇÃO DOS ITENS DIVERGENTES'!$A$13:$G$490,7)</f>
        <v>109.89567599286477</v>
      </c>
      <c r="G369" s="91">
        <f t="shared" si="179"/>
        <v>137.36959499108096</v>
      </c>
      <c r="H369" s="12">
        <f t="shared" si="180"/>
        <v>824.21756994648581</v>
      </c>
      <c r="I369" s="22">
        <v>6</v>
      </c>
      <c r="J369" s="11">
        <f t="shared" si="181"/>
        <v>109.89567599286477</v>
      </c>
      <c r="K369" s="10">
        <f t="shared" si="182"/>
        <v>139.95214337691328</v>
      </c>
      <c r="L369" s="12">
        <f t="shared" si="176"/>
        <v>839.7128602614797</v>
      </c>
      <c r="M369" s="11">
        <v>0</v>
      </c>
      <c r="N369" s="11">
        <f t="shared" si="174"/>
        <v>109.89567599286477</v>
      </c>
      <c r="O369" s="10">
        <f t="shared" si="183"/>
        <v>139.95214337691328</v>
      </c>
      <c r="P369" s="12">
        <f t="shared" si="175"/>
        <v>0</v>
      </c>
      <c r="Q369" s="148"/>
      <c r="R369" s="74"/>
      <c r="S369" s="47">
        <f>F369-'[1]CORREÇÃO DOS ITENS DIVERGENTES'!$P332</f>
        <v>0</v>
      </c>
      <c r="T369" s="12">
        <f t="shared" si="177"/>
        <v>824.21756994648581</v>
      </c>
      <c r="V369" s="41"/>
    </row>
    <row r="370" spans="1:22" s="8" customFormat="1" ht="14.25" hidden="1" customHeight="1">
      <c r="A370" s="133">
        <v>26000000</v>
      </c>
      <c r="B370" s="98"/>
      <c r="C370" s="187" t="s">
        <v>467</v>
      </c>
      <c r="D370" s="187"/>
      <c r="E370" s="187"/>
      <c r="F370" s="187"/>
      <c r="G370" s="91">
        <f t="shared" si="179"/>
        <v>0</v>
      </c>
      <c r="H370" s="87">
        <f>SUM(H371:H380)</f>
        <v>17119.045493752914</v>
      </c>
      <c r="I370" s="159"/>
      <c r="J370" s="159"/>
      <c r="K370" s="27"/>
      <c r="L370" s="26">
        <f>SUM(L371:L380)</f>
        <v>29175.725624532726</v>
      </c>
      <c r="M370" s="159"/>
      <c r="N370" s="159"/>
      <c r="O370" s="27"/>
      <c r="P370" s="26">
        <f>SUM(P371:P380)</f>
        <v>11734.842075497256</v>
      </c>
      <c r="Q370" s="160">
        <f t="shared" ref="Q370:Q410" si="184">L370+P370</f>
        <v>40910.567700029984</v>
      </c>
      <c r="R370" s="159"/>
      <c r="S370" s="159"/>
      <c r="T370" s="12">
        <f t="shared" si="177"/>
        <v>0</v>
      </c>
      <c r="V370" s="42"/>
    </row>
    <row r="371" spans="1:22" hidden="1">
      <c r="A371" s="122">
        <v>26001000</v>
      </c>
      <c r="B371" s="89">
        <v>72253</v>
      </c>
      <c r="C371" s="89" t="s">
        <v>468</v>
      </c>
      <c r="D371" s="90" t="s">
        <v>102</v>
      </c>
      <c r="E371" s="91">
        <v>400</v>
      </c>
      <c r="F371" s="11">
        <f>VLOOKUP(A371,'[1]CORREÇÃO DOS ITENS DIVERGENTES'!$A$13:$G$490,7)</f>
        <v>11.016176721802909</v>
      </c>
      <c r="G371" s="91">
        <f t="shared" si="179"/>
        <v>13.770220902253635</v>
      </c>
      <c r="H371" s="12">
        <f>E371*G371</f>
        <v>5508.0883609014545</v>
      </c>
      <c r="I371" s="22">
        <v>305</v>
      </c>
      <c r="J371" s="11">
        <f>F371</f>
        <v>11.016176721802909</v>
      </c>
      <c r="K371" s="10">
        <f t="shared" ref="K371:K372" si="185">J371*1.2735</f>
        <v>14.029101055216005</v>
      </c>
      <c r="L371" s="12">
        <f>I371*K371</f>
        <v>4278.8758218408811</v>
      </c>
      <c r="M371" s="11">
        <f>I371-E371</f>
        <v>-95</v>
      </c>
      <c r="N371" s="11">
        <f t="shared" ref="N371:N380" si="186">J371</f>
        <v>11.016176721802909</v>
      </c>
      <c r="O371" s="10">
        <f t="shared" ref="O371:O380" si="187">N371*1.2735</f>
        <v>14.029101055216005</v>
      </c>
      <c r="P371" s="12">
        <f t="shared" ref="P371:P434" si="188">M371*O371</f>
        <v>-1332.7646002455206</v>
      </c>
      <c r="Q371" s="148"/>
      <c r="R371" s="74"/>
      <c r="S371" s="47">
        <f>F371-'[1]CORREÇÃO DOS ITENS DIVERGENTES'!$P334</f>
        <v>0</v>
      </c>
      <c r="T371" s="12">
        <f t="shared" si="177"/>
        <v>5508.0883609014545</v>
      </c>
      <c r="V371" s="41"/>
    </row>
    <row r="372" spans="1:22" hidden="1">
      <c r="A372" s="122">
        <v>26002000</v>
      </c>
      <c r="B372" s="89">
        <v>72254</v>
      </c>
      <c r="C372" s="89" t="s">
        <v>469</v>
      </c>
      <c r="D372" s="90" t="s">
        <v>102</v>
      </c>
      <c r="E372" s="91">
        <v>40</v>
      </c>
      <c r="F372" s="11">
        <f>VLOOKUP(A372,'[1]CORREÇÃO DOS ITENS DIVERGENTES'!$A$13:$G$490,7)</f>
        <v>14.892238901696524</v>
      </c>
      <c r="G372" s="91">
        <f t="shared" si="179"/>
        <v>18.615298627120655</v>
      </c>
      <c r="H372" s="12">
        <f>E372*G372</f>
        <v>744.61194508482617</v>
      </c>
      <c r="I372" s="22">
        <v>40</v>
      </c>
      <c r="J372" s="11">
        <f>F372</f>
        <v>14.892238901696524</v>
      </c>
      <c r="K372" s="10">
        <f t="shared" si="185"/>
        <v>18.965266241310523</v>
      </c>
      <c r="L372" s="12">
        <f>I372*K372</f>
        <v>758.61064965242099</v>
      </c>
      <c r="M372" s="11">
        <v>0</v>
      </c>
      <c r="N372" s="11">
        <f t="shared" si="186"/>
        <v>14.892238901696524</v>
      </c>
      <c r="O372" s="10">
        <f t="shared" si="187"/>
        <v>18.965266241310523</v>
      </c>
      <c r="P372" s="12">
        <f t="shared" si="188"/>
        <v>0</v>
      </c>
      <c r="Q372" s="148"/>
      <c r="R372" s="74"/>
      <c r="S372" s="47">
        <f>F372-'[1]CORREÇÃO DOS ITENS DIVERGENTES'!$P335</f>
        <v>0</v>
      </c>
      <c r="T372" s="12">
        <f t="shared" si="177"/>
        <v>744.61194508482617</v>
      </c>
      <c r="V372" s="41"/>
    </row>
    <row r="373" spans="1:22" ht="22.5" hidden="1">
      <c r="A373" s="131"/>
      <c r="B373" s="89">
        <v>78012</v>
      </c>
      <c r="C373" s="89" t="s">
        <v>470</v>
      </c>
      <c r="D373" s="90" t="s">
        <v>66</v>
      </c>
      <c r="E373" s="91">
        <v>0</v>
      </c>
      <c r="F373" s="11"/>
      <c r="G373" s="91">
        <f t="shared" si="179"/>
        <v>0</v>
      </c>
      <c r="H373" s="11"/>
      <c r="I373" s="23">
        <f>M373</f>
        <v>180</v>
      </c>
      <c r="J373" s="39">
        <v>13.08</v>
      </c>
      <c r="K373" s="39">
        <v>16.66</v>
      </c>
      <c r="L373" s="12">
        <f t="shared" ref="L373:L374" si="189">I373*K373</f>
        <v>2998.8</v>
      </c>
      <c r="M373" s="39">
        <v>180</v>
      </c>
      <c r="N373" s="39">
        <f>O373/1.2735</f>
        <v>13.082057322340008</v>
      </c>
      <c r="O373" s="39">
        <v>16.66</v>
      </c>
      <c r="P373" s="12">
        <f t="shared" si="188"/>
        <v>2998.8</v>
      </c>
      <c r="Q373" s="39"/>
      <c r="R373" s="39"/>
      <c r="S373" s="39"/>
      <c r="T373" s="12">
        <f t="shared" si="177"/>
        <v>0</v>
      </c>
      <c r="V373" s="41"/>
    </row>
    <row r="374" spans="1:22" ht="22.5" hidden="1">
      <c r="A374" s="131"/>
      <c r="B374" s="89">
        <v>78012</v>
      </c>
      <c r="C374" s="89" t="s">
        <v>471</v>
      </c>
      <c r="D374" s="90" t="s">
        <v>66</v>
      </c>
      <c r="E374" s="91">
        <v>0</v>
      </c>
      <c r="F374" s="11"/>
      <c r="G374" s="91">
        <f t="shared" si="179"/>
        <v>0</v>
      </c>
      <c r="H374" s="11"/>
      <c r="I374" s="23">
        <f>M374</f>
        <v>400</v>
      </c>
      <c r="J374" s="39">
        <v>21.68</v>
      </c>
      <c r="K374" s="39">
        <v>27.6</v>
      </c>
      <c r="L374" s="12">
        <f t="shared" si="189"/>
        <v>11040</v>
      </c>
      <c r="M374" s="39">
        <v>400</v>
      </c>
      <c r="N374" s="39">
        <f>27.6/1.2731</f>
        <v>21.679365328725162</v>
      </c>
      <c r="O374" s="39">
        <v>27.6</v>
      </c>
      <c r="P374" s="12">
        <f t="shared" si="188"/>
        <v>11040</v>
      </c>
      <c r="Q374" s="39"/>
      <c r="R374" s="39"/>
      <c r="S374" s="39"/>
      <c r="T374" s="12">
        <f t="shared" si="177"/>
        <v>0</v>
      </c>
      <c r="V374" s="41"/>
    </row>
    <row r="375" spans="1:22" hidden="1">
      <c r="A375" s="122">
        <v>26003000</v>
      </c>
      <c r="B375" s="89" t="s">
        <v>472</v>
      </c>
      <c r="C375" s="89" t="s">
        <v>473</v>
      </c>
      <c r="D375" s="90" t="s">
        <v>19</v>
      </c>
      <c r="E375" s="91">
        <v>441</v>
      </c>
      <c r="F375" s="11">
        <f>VLOOKUP(A375,'[1]CORREÇÃO DOS ITENS DIVERGENTES'!$A$13:$G$490,7)</f>
        <v>0.8337525055148739</v>
      </c>
      <c r="G375" s="91">
        <f t="shared" si="179"/>
        <v>1.0421906318935923</v>
      </c>
      <c r="H375" s="12">
        <f t="shared" ref="H375:H380" si="190">E375*G375</f>
        <v>459.60606866507419</v>
      </c>
      <c r="I375" s="22">
        <v>441</v>
      </c>
      <c r="J375" s="11">
        <f t="shared" ref="J375:J380" si="191">F375</f>
        <v>0.8337525055148739</v>
      </c>
      <c r="K375" s="10">
        <f t="shared" ref="K375:K380" si="192">J375*1.2735</f>
        <v>1.061783815773192</v>
      </c>
      <c r="L375" s="12">
        <f>I375*K375</f>
        <v>468.2466627559777</v>
      </c>
      <c r="M375" s="11">
        <v>0</v>
      </c>
      <c r="N375" s="11">
        <f t="shared" si="186"/>
        <v>0.8337525055148739</v>
      </c>
      <c r="O375" s="10">
        <f t="shared" si="187"/>
        <v>1.061783815773192</v>
      </c>
      <c r="P375" s="12">
        <f t="shared" si="188"/>
        <v>0</v>
      </c>
      <c r="Q375" s="148"/>
      <c r="R375" s="74"/>
      <c r="S375" s="47">
        <f>F375-'[1]CORREÇÃO DOS ITENS DIVERGENTES'!$P336</f>
        <v>0</v>
      </c>
      <c r="T375" s="12">
        <f t="shared" si="177"/>
        <v>459.60606866507419</v>
      </c>
      <c r="V375" s="41"/>
    </row>
    <row r="376" spans="1:22" ht="22.5" hidden="1">
      <c r="A376" s="122">
        <v>26004000</v>
      </c>
      <c r="B376" s="89" t="s">
        <v>474</v>
      </c>
      <c r="C376" s="89" t="s">
        <v>475</v>
      </c>
      <c r="D376" s="90" t="s">
        <v>19</v>
      </c>
      <c r="E376" s="91">
        <v>360</v>
      </c>
      <c r="F376" s="11">
        <f>VLOOKUP(A376,'[1]CORREÇÃO DOS ITENS DIVERGENTES'!$A$13:$G$490,7)</f>
        <v>6.2531437913615546</v>
      </c>
      <c r="G376" s="91">
        <f t="shared" si="179"/>
        <v>7.8164297392019435</v>
      </c>
      <c r="H376" s="12">
        <f t="shared" si="190"/>
        <v>2813.9147061126996</v>
      </c>
      <c r="I376" s="22">
        <v>360</v>
      </c>
      <c r="J376" s="11">
        <f t="shared" si="191"/>
        <v>6.2531437913615546</v>
      </c>
      <c r="K376" s="10">
        <f t="shared" si="192"/>
        <v>7.9633786182989406</v>
      </c>
      <c r="L376" s="12">
        <f t="shared" ref="L376:L380" si="193">I376*K376</f>
        <v>2866.8163025876188</v>
      </c>
      <c r="M376" s="11">
        <v>0</v>
      </c>
      <c r="N376" s="11">
        <f t="shared" si="186"/>
        <v>6.2531437913615546</v>
      </c>
      <c r="O376" s="10">
        <f t="shared" si="187"/>
        <v>7.9633786182989406</v>
      </c>
      <c r="P376" s="12">
        <f t="shared" si="188"/>
        <v>0</v>
      </c>
      <c r="Q376" s="148"/>
      <c r="R376" s="74"/>
      <c r="S376" s="47">
        <f>F376-'[1]CORREÇÃO DOS ITENS DIVERGENTES'!$P337</f>
        <v>0</v>
      </c>
      <c r="T376" s="12">
        <f t="shared" si="177"/>
        <v>2813.9147061126996</v>
      </c>
      <c r="V376" s="41"/>
    </row>
    <row r="377" spans="1:22" ht="22.5" hidden="1">
      <c r="A377" s="122">
        <v>26005000</v>
      </c>
      <c r="B377" s="89" t="s">
        <v>476</v>
      </c>
      <c r="C377" s="89" t="s">
        <v>477</v>
      </c>
      <c r="D377" s="90" t="s">
        <v>19</v>
      </c>
      <c r="E377" s="91">
        <v>330</v>
      </c>
      <c r="F377" s="11">
        <f>VLOOKUP(A377,'[1]CORREÇÃO DOS ITENS DIVERGENTES'!$A$13:$G$490,7)</f>
        <v>13.162645938128435</v>
      </c>
      <c r="G377" s="91">
        <f t="shared" si="179"/>
        <v>16.453307422660544</v>
      </c>
      <c r="H377" s="12">
        <f t="shared" si="190"/>
        <v>5429.591449477979</v>
      </c>
      <c r="I377" s="22">
        <v>330</v>
      </c>
      <c r="J377" s="11">
        <f t="shared" si="191"/>
        <v>13.162645938128435</v>
      </c>
      <c r="K377" s="10">
        <f t="shared" si="192"/>
        <v>16.762629602206562</v>
      </c>
      <c r="L377" s="12">
        <f t="shared" si="193"/>
        <v>5531.6677687281654</v>
      </c>
      <c r="M377" s="11">
        <v>0</v>
      </c>
      <c r="N377" s="11">
        <f t="shared" si="186"/>
        <v>13.162645938128435</v>
      </c>
      <c r="O377" s="10">
        <f t="shared" si="187"/>
        <v>16.762629602206562</v>
      </c>
      <c r="P377" s="12">
        <f t="shared" si="188"/>
        <v>0</v>
      </c>
      <c r="Q377" s="148"/>
      <c r="R377" s="74"/>
      <c r="S377" s="47">
        <f>F377-'[1]CORREÇÃO DOS ITENS DIVERGENTES'!$P338</f>
        <v>0</v>
      </c>
      <c r="T377" s="12">
        <f t="shared" si="177"/>
        <v>5429.591449477979</v>
      </c>
      <c r="V377" s="41"/>
    </row>
    <row r="378" spans="1:22" ht="22.5" hidden="1">
      <c r="A378" s="122">
        <v>26006000</v>
      </c>
      <c r="B378" s="89" t="s">
        <v>478</v>
      </c>
      <c r="C378" s="89" t="s">
        <v>479</v>
      </c>
      <c r="D378" s="90" t="s">
        <v>19</v>
      </c>
      <c r="E378" s="91">
        <v>441</v>
      </c>
      <c r="F378" s="11">
        <f>VLOOKUP(A378,'[1]CORREÇÃO DOS ITENS DIVERGENTES'!$A$13:$G$490,7)</f>
        <v>2.1287298013145715</v>
      </c>
      <c r="G378" s="91">
        <f t="shared" si="179"/>
        <v>2.6609122516432144</v>
      </c>
      <c r="H378" s="12">
        <f t="shared" si="190"/>
        <v>1173.4623029746576</v>
      </c>
      <c r="I378" s="22">
        <v>441</v>
      </c>
      <c r="J378" s="11">
        <f t="shared" si="191"/>
        <v>2.1287298013145715</v>
      </c>
      <c r="K378" s="10">
        <f t="shared" si="192"/>
        <v>2.7109374019741068</v>
      </c>
      <c r="L378" s="12">
        <f t="shared" si="193"/>
        <v>1195.5233942705811</v>
      </c>
      <c r="M378" s="11">
        <v>0</v>
      </c>
      <c r="N378" s="11">
        <f t="shared" si="186"/>
        <v>2.1287298013145715</v>
      </c>
      <c r="O378" s="10">
        <f t="shared" si="187"/>
        <v>2.7109374019741068</v>
      </c>
      <c r="P378" s="12">
        <f t="shared" si="188"/>
        <v>0</v>
      </c>
      <c r="Q378" s="148"/>
      <c r="R378" s="74"/>
      <c r="S378" s="47">
        <f>F378-'[1]CORREÇÃO DOS ITENS DIVERGENTES'!$P339</f>
        <v>0</v>
      </c>
      <c r="T378" s="12">
        <f t="shared" si="177"/>
        <v>1173.4623029746576</v>
      </c>
      <c r="V378" s="41"/>
    </row>
    <row r="379" spans="1:22" ht="22.5" hidden="1">
      <c r="A379" s="122">
        <v>26007000</v>
      </c>
      <c r="B379" s="89" t="s">
        <v>480</v>
      </c>
      <c r="C379" s="89" t="s">
        <v>481</v>
      </c>
      <c r="D379" s="90" t="s">
        <v>19</v>
      </c>
      <c r="E379" s="91">
        <v>2</v>
      </c>
      <c r="F379" s="11">
        <f>VLOOKUP(A379,'[1]CORREÇÃO DOS ITENS DIVERGENTES'!$A$13:$G$490,7)</f>
        <v>14.599538554015771</v>
      </c>
      <c r="G379" s="91">
        <f t="shared" si="179"/>
        <v>18.249423192519714</v>
      </c>
      <c r="H379" s="12">
        <f t="shared" si="190"/>
        <v>36.498846385039428</v>
      </c>
      <c r="I379" s="22">
        <v>2</v>
      </c>
      <c r="J379" s="11">
        <f t="shared" si="191"/>
        <v>14.599538554015771</v>
      </c>
      <c r="K379" s="10">
        <f t="shared" si="192"/>
        <v>18.592512348539085</v>
      </c>
      <c r="L379" s="12">
        <f t="shared" si="193"/>
        <v>37.18502469707817</v>
      </c>
      <c r="M379" s="11">
        <v>0</v>
      </c>
      <c r="N379" s="11">
        <f t="shared" si="186"/>
        <v>14.599538554015771</v>
      </c>
      <c r="O379" s="10">
        <f t="shared" si="187"/>
        <v>18.592512348539085</v>
      </c>
      <c r="P379" s="12">
        <f t="shared" si="188"/>
        <v>0</v>
      </c>
      <c r="Q379" s="148"/>
      <c r="R379" s="74"/>
      <c r="S379" s="47">
        <f>F379-'[1]CORREÇÃO DOS ITENS DIVERGENTES'!$P340</f>
        <v>0</v>
      </c>
      <c r="T379" s="12">
        <f t="shared" si="177"/>
        <v>36.498846385039428</v>
      </c>
      <c r="V379" s="41"/>
    </row>
    <row r="380" spans="1:22" ht="33.75" hidden="1">
      <c r="A380" s="122">
        <v>26008000</v>
      </c>
      <c r="B380" s="89" t="s">
        <v>482</v>
      </c>
      <c r="C380" s="89" t="s">
        <v>483</v>
      </c>
      <c r="D380" s="90" t="s">
        <v>19</v>
      </c>
      <c r="E380" s="91">
        <v>3</v>
      </c>
      <c r="F380" s="11">
        <f>VLOOKUP(A380,'[1]CORREÇÃO DOS ITENS DIVERGENTES'!$A$13:$G$490,7)</f>
        <v>254.20581710698178</v>
      </c>
      <c r="G380" s="91">
        <f t="shared" si="179"/>
        <v>317.75727138372724</v>
      </c>
      <c r="H380" s="12">
        <f t="shared" si="190"/>
        <v>953.27181415118173</v>
      </c>
      <c r="I380" s="22">
        <v>0</v>
      </c>
      <c r="J380" s="11">
        <f t="shared" si="191"/>
        <v>254.20581710698178</v>
      </c>
      <c r="K380" s="10">
        <f t="shared" si="192"/>
        <v>323.73110808574131</v>
      </c>
      <c r="L380" s="12">
        <f t="shared" si="193"/>
        <v>0</v>
      </c>
      <c r="M380" s="11">
        <f>I380-E380</f>
        <v>-3</v>
      </c>
      <c r="N380" s="11">
        <f t="shared" si="186"/>
        <v>254.20581710698178</v>
      </c>
      <c r="O380" s="10">
        <f t="shared" si="187"/>
        <v>323.73110808574131</v>
      </c>
      <c r="P380" s="12">
        <f t="shared" si="188"/>
        <v>-971.19332425722394</v>
      </c>
      <c r="Q380" s="148"/>
      <c r="R380" s="74"/>
      <c r="S380" s="47">
        <f>F380-'[1]CORREÇÃO DOS ITENS DIVERGENTES'!$P341</f>
        <v>0</v>
      </c>
      <c r="T380" s="12">
        <f t="shared" si="177"/>
        <v>953.27181415118173</v>
      </c>
      <c r="V380" s="41"/>
    </row>
    <row r="381" spans="1:22" s="8" customFormat="1" ht="14.25" customHeight="1">
      <c r="A381" s="139">
        <v>27000000</v>
      </c>
      <c r="B381" s="139"/>
      <c r="C381" s="139" t="s">
        <v>484</v>
      </c>
      <c r="D381" s="139"/>
      <c r="E381" s="139"/>
      <c r="F381" s="139"/>
      <c r="G381" s="139"/>
      <c r="H381" s="140">
        <f>H400+H408</f>
        <v>3473.1000000000004</v>
      </c>
      <c r="I381" s="159"/>
      <c r="J381" s="159"/>
      <c r="K381" s="27"/>
      <c r="L381" s="26">
        <f>SUM(L382:L409)</f>
        <v>18470.132915425427</v>
      </c>
      <c r="M381" s="159"/>
      <c r="N381" s="159"/>
      <c r="O381" s="27"/>
      <c r="P381" s="26">
        <f>SUM(P382:P409)</f>
        <v>4856.5107290138412</v>
      </c>
      <c r="Q381" s="160">
        <f t="shared" si="184"/>
        <v>23326.643644439268</v>
      </c>
      <c r="R381" s="159"/>
      <c r="S381" s="159"/>
      <c r="T381" s="140">
        <f>T400+T408</f>
        <v>4341.375</v>
      </c>
      <c r="V381" s="42"/>
    </row>
    <row r="382" spans="1:22" hidden="1">
      <c r="A382" s="118">
        <v>27001000</v>
      </c>
      <c r="B382" s="89">
        <v>73613</v>
      </c>
      <c r="C382" s="89" t="s">
        <v>349</v>
      </c>
      <c r="D382" s="90" t="s">
        <v>102</v>
      </c>
      <c r="E382" s="91">
        <v>131.97</v>
      </c>
      <c r="F382" s="11">
        <f>VLOOKUP(A382,'[1]CORREÇÃO DOS ITENS DIVERGENTES'!$A$13:$G$490,7)</f>
        <v>3.9470198399374352</v>
      </c>
      <c r="G382" s="91">
        <f t="shared" si="179"/>
        <v>4.9337747999217942</v>
      </c>
      <c r="H382" s="12">
        <f t="shared" ref="H382:H399" si="194">E382*G382</f>
        <v>651.11026034567919</v>
      </c>
      <c r="I382" s="22">
        <v>131.97</v>
      </c>
      <c r="J382" s="11">
        <f t="shared" ref="J382:J409" si="195">F382</f>
        <v>3.9470198399374352</v>
      </c>
      <c r="K382" s="10">
        <f t="shared" ref="K382:K409" si="196">J382*1.2735</f>
        <v>5.0265297661603237</v>
      </c>
      <c r="L382" s="12">
        <f>I382*K382</f>
        <v>663.35113324017789</v>
      </c>
      <c r="M382" s="11">
        <v>0</v>
      </c>
      <c r="N382" s="11">
        <f t="shared" ref="N382:N409" si="197">J382</f>
        <v>3.9470198399374352</v>
      </c>
      <c r="O382" s="10">
        <f t="shared" ref="O382:O409" si="198">N382*1.2735</f>
        <v>5.0265297661603237</v>
      </c>
      <c r="P382" s="12">
        <f t="shared" si="188"/>
        <v>0</v>
      </c>
      <c r="Q382" s="148"/>
      <c r="R382" s="74"/>
      <c r="S382" s="47">
        <f>F382-'[1]CORREÇÃO DOS ITENS DIVERGENTES'!$P343</f>
        <v>0</v>
      </c>
      <c r="T382" s="12">
        <f t="shared" si="177"/>
        <v>651.11026034567919</v>
      </c>
      <c r="V382" s="41"/>
    </row>
    <row r="383" spans="1:22" ht="22.5" hidden="1">
      <c r="A383" s="118">
        <v>27002000</v>
      </c>
      <c r="B383" s="89">
        <v>73621</v>
      </c>
      <c r="C383" s="89" t="s">
        <v>485</v>
      </c>
      <c r="D383" s="90" t="s">
        <v>19</v>
      </c>
      <c r="E383" s="91">
        <v>42</v>
      </c>
      <c r="F383" s="11">
        <f>VLOOKUP(A383,'[1]CORREÇÃO DOS ITENS DIVERGENTES'!$A$13:$G$490,7)</f>
        <v>1.4457623233928132</v>
      </c>
      <c r="G383" s="91">
        <f t="shared" si="179"/>
        <v>1.8072029042410165</v>
      </c>
      <c r="H383" s="12">
        <f t="shared" si="194"/>
        <v>75.902521978122692</v>
      </c>
      <c r="I383" s="22">
        <v>0</v>
      </c>
      <c r="J383" s="11">
        <f t="shared" si="195"/>
        <v>1.4457623233928132</v>
      </c>
      <c r="K383" s="10">
        <f t="shared" si="196"/>
        <v>1.8411783188407478</v>
      </c>
      <c r="L383" s="12">
        <f t="shared" ref="L383:L409" si="199">I383*K383</f>
        <v>0</v>
      </c>
      <c r="M383" s="11">
        <f>I383-E383</f>
        <v>-42</v>
      </c>
      <c r="N383" s="11">
        <f t="shared" si="197"/>
        <v>1.4457623233928132</v>
      </c>
      <c r="O383" s="10">
        <f t="shared" si="198"/>
        <v>1.8411783188407478</v>
      </c>
      <c r="P383" s="12">
        <f t="shared" si="188"/>
        <v>-77.329489391311412</v>
      </c>
      <c r="Q383" s="148"/>
      <c r="R383" s="74"/>
      <c r="S383" s="47">
        <f>F383-'[1]CORREÇÃO DOS ITENS DIVERGENTES'!$P344</f>
        <v>0</v>
      </c>
      <c r="T383" s="12">
        <f t="shared" si="177"/>
        <v>75.902521978122692</v>
      </c>
      <c r="V383" s="41"/>
    </row>
    <row r="384" spans="1:22" ht="22.5" hidden="1">
      <c r="A384" s="118">
        <v>27003000</v>
      </c>
      <c r="B384" s="89" t="s">
        <v>486</v>
      </c>
      <c r="C384" s="89" t="s">
        <v>487</v>
      </c>
      <c r="D384" s="90" t="s">
        <v>19</v>
      </c>
      <c r="E384" s="91">
        <v>21</v>
      </c>
      <c r="F384" s="11">
        <f>VLOOKUP(A384,'[1]CORREÇÃO DOS ITENS DIVERGENTES'!$A$13:$G$490,7)</f>
        <v>7.2199419094585897</v>
      </c>
      <c r="G384" s="91">
        <f t="shared" si="179"/>
        <v>9.0249273868232365</v>
      </c>
      <c r="H384" s="12">
        <f t="shared" si="194"/>
        <v>189.52347512328797</v>
      </c>
      <c r="I384" s="22">
        <v>0</v>
      </c>
      <c r="J384" s="11">
        <f t="shared" si="195"/>
        <v>7.2199419094585897</v>
      </c>
      <c r="K384" s="10">
        <f t="shared" si="196"/>
        <v>9.1945960216955154</v>
      </c>
      <c r="L384" s="12">
        <f t="shared" si="199"/>
        <v>0</v>
      </c>
      <c r="M384" s="11">
        <f>I384-E384</f>
        <v>-21</v>
      </c>
      <c r="N384" s="11">
        <f t="shared" si="197"/>
        <v>7.2199419094585897</v>
      </c>
      <c r="O384" s="10">
        <f t="shared" si="198"/>
        <v>9.1945960216955154</v>
      </c>
      <c r="P384" s="12">
        <f t="shared" si="188"/>
        <v>-193.08651645560582</v>
      </c>
      <c r="Q384" s="148"/>
      <c r="R384" s="74"/>
      <c r="S384" s="47">
        <f>F384-'[1]CORREÇÃO DOS ITENS DIVERGENTES'!$P345</f>
        <v>0</v>
      </c>
      <c r="T384" s="12">
        <f t="shared" si="177"/>
        <v>189.52347512328797</v>
      </c>
      <c r="V384" s="41"/>
    </row>
    <row r="385" spans="1:22" ht="22.5" hidden="1">
      <c r="A385" s="118">
        <v>27004000</v>
      </c>
      <c r="B385" s="89" t="s">
        <v>359</v>
      </c>
      <c r="C385" s="89" t="s">
        <v>360</v>
      </c>
      <c r="D385" s="90" t="s">
        <v>19</v>
      </c>
      <c r="E385" s="91">
        <v>1</v>
      </c>
      <c r="F385" s="11">
        <f>VLOOKUP(A385,'[1]CORREÇÃO DOS ITENS DIVERGENTES'!$A$13:$G$490,7)</f>
        <v>9.5792841059155727</v>
      </c>
      <c r="G385" s="91">
        <f t="shared" si="179"/>
        <v>11.974105132394467</v>
      </c>
      <c r="H385" s="12">
        <f t="shared" si="194"/>
        <v>11.974105132394467</v>
      </c>
      <c r="I385" s="22">
        <v>0</v>
      </c>
      <c r="J385" s="11">
        <f t="shared" si="195"/>
        <v>9.5792841059155727</v>
      </c>
      <c r="K385" s="10">
        <f t="shared" si="196"/>
        <v>12.199218308883482</v>
      </c>
      <c r="L385" s="12">
        <f t="shared" si="199"/>
        <v>0</v>
      </c>
      <c r="M385" s="11">
        <f>I385-E385</f>
        <v>-1</v>
      </c>
      <c r="N385" s="11">
        <f t="shared" si="197"/>
        <v>9.5792841059155727</v>
      </c>
      <c r="O385" s="10">
        <f t="shared" si="198"/>
        <v>12.199218308883482</v>
      </c>
      <c r="P385" s="12">
        <f t="shared" si="188"/>
        <v>-12.199218308883482</v>
      </c>
      <c r="Q385" s="148"/>
      <c r="R385" s="74"/>
      <c r="S385" s="47">
        <f>F385-'[1]CORREÇÃO DOS ITENS DIVERGENTES'!$P346</f>
        <v>0</v>
      </c>
      <c r="T385" s="12">
        <f t="shared" si="177"/>
        <v>11.974105132394467</v>
      </c>
      <c r="V385" s="41"/>
    </row>
    <row r="386" spans="1:22" ht="22.5" hidden="1">
      <c r="A386" s="118">
        <v>27005000</v>
      </c>
      <c r="B386" s="89" t="s">
        <v>363</v>
      </c>
      <c r="C386" s="89" t="s">
        <v>364</v>
      </c>
      <c r="D386" s="90" t="s">
        <v>19</v>
      </c>
      <c r="E386" s="91">
        <v>2</v>
      </c>
      <c r="F386" s="11">
        <f>VLOOKUP(A386,'[1]CORREÇÃO DOS ITENS DIVERGENTES'!$A$13:$G$490,7)</f>
        <v>15.149460419355368</v>
      </c>
      <c r="G386" s="91">
        <f t="shared" si="179"/>
        <v>18.936825524194209</v>
      </c>
      <c r="H386" s="12">
        <f t="shared" si="194"/>
        <v>37.873651048388417</v>
      </c>
      <c r="I386" s="22">
        <f>2+M386</f>
        <v>6</v>
      </c>
      <c r="J386" s="11">
        <f t="shared" si="195"/>
        <v>15.149460419355368</v>
      </c>
      <c r="K386" s="10">
        <f t="shared" si="196"/>
        <v>19.29283784404906</v>
      </c>
      <c r="L386" s="12">
        <f t="shared" si="199"/>
        <v>115.75702706429436</v>
      </c>
      <c r="M386" s="11">
        <f>6-2</f>
        <v>4</v>
      </c>
      <c r="N386" s="11">
        <f t="shared" si="197"/>
        <v>15.149460419355368</v>
      </c>
      <c r="O386" s="10">
        <f t="shared" si="198"/>
        <v>19.29283784404906</v>
      </c>
      <c r="P386" s="12">
        <f t="shared" si="188"/>
        <v>77.171351376196242</v>
      </c>
      <c r="Q386" s="148"/>
      <c r="R386" s="74"/>
      <c r="S386" s="47">
        <f>F386-'[1]CORREÇÃO DOS ITENS DIVERGENTES'!$P347</f>
        <v>0</v>
      </c>
      <c r="T386" s="12">
        <f t="shared" si="177"/>
        <v>37.873651048388417</v>
      </c>
      <c r="V386" s="41"/>
    </row>
    <row r="387" spans="1:22" ht="22.5" hidden="1">
      <c r="A387" s="118">
        <v>27006000</v>
      </c>
      <c r="B387" s="89" t="s">
        <v>488</v>
      </c>
      <c r="C387" s="89" t="s">
        <v>489</v>
      </c>
      <c r="D387" s="90" t="s">
        <v>19</v>
      </c>
      <c r="E387" s="91">
        <v>1</v>
      </c>
      <c r="F387" s="11">
        <f>VLOOKUP(A387,'[1]CORREÇÃO DOS ITENS DIVERGENTES'!$A$13:$G$490,7)</f>
        <v>18.679604006535367</v>
      </c>
      <c r="G387" s="91">
        <f t="shared" si="179"/>
        <v>23.34950500816921</v>
      </c>
      <c r="H387" s="12">
        <f t="shared" si="194"/>
        <v>23.34950500816921</v>
      </c>
      <c r="I387" s="22">
        <v>0</v>
      </c>
      <c r="J387" s="11">
        <f t="shared" si="195"/>
        <v>18.679604006535367</v>
      </c>
      <c r="K387" s="10">
        <f t="shared" si="196"/>
        <v>23.788475702322792</v>
      </c>
      <c r="L387" s="12">
        <f t="shared" si="199"/>
        <v>0</v>
      </c>
      <c r="M387" s="11">
        <f>I387-E387</f>
        <v>-1</v>
      </c>
      <c r="N387" s="11">
        <f t="shared" si="197"/>
        <v>18.679604006535367</v>
      </c>
      <c r="O387" s="10">
        <f t="shared" si="198"/>
        <v>23.788475702322792</v>
      </c>
      <c r="P387" s="12">
        <f t="shared" si="188"/>
        <v>-23.788475702322792</v>
      </c>
      <c r="Q387" s="148"/>
      <c r="R387" s="74"/>
      <c r="S387" s="47">
        <f>F387-'[1]CORREÇÃO DOS ITENS DIVERGENTES'!$P348</f>
        <v>0</v>
      </c>
      <c r="T387" s="12">
        <f t="shared" si="177"/>
        <v>23.34950500816921</v>
      </c>
      <c r="V387" s="41"/>
    </row>
    <row r="388" spans="1:22" ht="22.5" hidden="1">
      <c r="A388" s="118">
        <v>27007000</v>
      </c>
      <c r="B388" s="89" t="s">
        <v>367</v>
      </c>
      <c r="C388" s="89" t="s">
        <v>368</v>
      </c>
      <c r="D388" s="90" t="s">
        <v>19</v>
      </c>
      <c r="E388" s="91">
        <v>54</v>
      </c>
      <c r="F388" s="11">
        <f>VLOOKUP(A388,'[1]CORREÇÃO DOS ITENS DIVERGENTES'!$A$13:$G$490,7)</f>
        <v>3.858322764882661</v>
      </c>
      <c r="G388" s="91">
        <f t="shared" si="179"/>
        <v>4.8229034561033259</v>
      </c>
      <c r="H388" s="12">
        <f t="shared" si="194"/>
        <v>260.43678662957961</v>
      </c>
      <c r="I388" s="22">
        <v>0</v>
      </c>
      <c r="J388" s="11">
        <f t="shared" si="195"/>
        <v>3.858322764882661</v>
      </c>
      <c r="K388" s="10">
        <f t="shared" si="196"/>
        <v>4.9135740410780695</v>
      </c>
      <c r="L388" s="12">
        <f t="shared" si="199"/>
        <v>0</v>
      </c>
      <c r="M388" s="11">
        <f>I388-E388</f>
        <v>-54</v>
      </c>
      <c r="N388" s="11">
        <f t="shared" si="197"/>
        <v>3.858322764882661</v>
      </c>
      <c r="O388" s="10">
        <f t="shared" si="198"/>
        <v>4.9135740410780695</v>
      </c>
      <c r="P388" s="12">
        <f t="shared" si="188"/>
        <v>-265.33299821821578</v>
      </c>
      <c r="Q388" s="148"/>
      <c r="R388" s="74"/>
      <c r="S388" s="47">
        <f>F388-'[1]CORREÇÃO DOS ITENS DIVERGENTES'!$P349</f>
        <v>0</v>
      </c>
      <c r="T388" s="12">
        <f t="shared" si="177"/>
        <v>260.43678662957961</v>
      </c>
      <c r="V388" s="41"/>
    </row>
    <row r="389" spans="1:22" hidden="1">
      <c r="A389" s="118">
        <v>27008000</v>
      </c>
      <c r="B389" s="89" t="s">
        <v>381</v>
      </c>
      <c r="C389" s="89" t="s">
        <v>382</v>
      </c>
      <c r="D389" s="90" t="s">
        <v>19</v>
      </c>
      <c r="E389" s="91">
        <v>108</v>
      </c>
      <c r="F389" s="11">
        <f>VLOOKUP(A389,'[1]CORREÇÃO DOS ITENS DIVERGENTES'!$A$13:$G$490,7)</f>
        <v>1.6675050110297478</v>
      </c>
      <c r="G389" s="91">
        <f t="shared" si="179"/>
        <v>2.0843812637871846</v>
      </c>
      <c r="H389" s="12">
        <f t="shared" si="194"/>
        <v>225.11317648901593</v>
      </c>
      <c r="I389" s="22">
        <v>0</v>
      </c>
      <c r="J389" s="11">
        <f t="shared" si="195"/>
        <v>1.6675050110297478</v>
      </c>
      <c r="K389" s="10">
        <f t="shared" si="196"/>
        <v>2.1235676315463841</v>
      </c>
      <c r="L389" s="12">
        <f t="shared" si="199"/>
        <v>0</v>
      </c>
      <c r="M389" s="11">
        <f>I389-E389</f>
        <v>-108</v>
      </c>
      <c r="N389" s="11">
        <f t="shared" si="197"/>
        <v>1.6675050110297478</v>
      </c>
      <c r="O389" s="10">
        <f t="shared" si="198"/>
        <v>2.1235676315463841</v>
      </c>
      <c r="P389" s="12">
        <f t="shared" si="188"/>
        <v>-229.34530420700949</v>
      </c>
      <c r="Q389" s="148"/>
      <c r="R389" s="74"/>
      <c r="S389" s="47">
        <f>F389-'[1]CORREÇÃO DOS ITENS DIVERGENTES'!$P350</f>
        <v>0</v>
      </c>
      <c r="T389" s="12">
        <f t="shared" si="177"/>
        <v>225.11317648901593</v>
      </c>
      <c r="V389" s="41"/>
    </row>
    <row r="390" spans="1:22" hidden="1">
      <c r="A390" s="118">
        <v>27009000</v>
      </c>
      <c r="B390" s="89" t="s">
        <v>490</v>
      </c>
      <c r="C390" s="89" t="s">
        <v>491</v>
      </c>
      <c r="D390" s="90" t="s">
        <v>19</v>
      </c>
      <c r="E390" s="91">
        <v>2</v>
      </c>
      <c r="F390" s="11">
        <f>VLOOKUP(A390,'[1]CORREÇÃO DOS ITENS DIVERGENTES'!$A$13:$G$490,7)</f>
        <v>0.33704888520814053</v>
      </c>
      <c r="G390" s="91">
        <f t="shared" si="179"/>
        <v>0.42131110651017567</v>
      </c>
      <c r="H390" s="12">
        <f t="shared" si="194"/>
        <v>0.84262221302035134</v>
      </c>
      <c r="I390" s="22">
        <v>2</v>
      </c>
      <c r="J390" s="11">
        <f t="shared" si="195"/>
        <v>0.33704888520814053</v>
      </c>
      <c r="K390" s="10">
        <f t="shared" si="196"/>
        <v>0.42923175531256696</v>
      </c>
      <c r="L390" s="12">
        <f t="shared" si="199"/>
        <v>0.85846351062513393</v>
      </c>
      <c r="M390" s="11">
        <v>0</v>
      </c>
      <c r="N390" s="11">
        <f t="shared" si="197"/>
        <v>0.33704888520814053</v>
      </c>
      <c r="O390" s="10">
        <f t="shared" si="198"/>
        <v>0.42923175531256696</v>
      </c>
      <c r="P390" s="12">
        <f t="shared" si="188"/>
        <v>0</v>
      </c>
      <c r="Q390" s="148"/>
      <c r="R390" s="74"/>
      <c r="S390" s="47">
        <f>F390-'[1]CORREÇÃO DOS ITENS DIVERGENTES'!$P351</f>
        <v>0</v>
      </c>
      <c r="T390" s="12">
        <f t="shared" si="177"/>
        <v>0.84262221302035134</v>
      </c>
      <c r="V390" s="41"/>
    </row>
    <row r="391" spans="1:22" hidden="1">
      <c r="A391" s="118">
        <v>27010000</v>
      </c>
      <c r="B391" s="89" t="s">
        <v>492</v>
      </c>
      <c r="C391" s="89" t="s">
        <v>493</v>
      </c>
      <c r="D391" s="90" t="s">
        <v>19</v>
      </c>
      <c r="E391" s="91">
        <v>42</v>
      </c>
      <c r="F391" s="11">
        <f>VLOOKUP(A391,'[1]CORREÇÃO DOS ITENS DIVERGENTES'!$A$13:$G$490,7)</f>
        <v>0.30157005518623103</v>
      </c>
      <c r="G391" s="91">
        <f t="shared" si="179"/>
        <v>0.37696256898278879</v>
      </c>
      <c r="H391" s="12">
        <f t="shared" si="194"/>
        <v>15.83242789727713</v>
      </c>
      <c r="I391" s="22">
        <f>42+M391</f>
        <v>200</v>
      </c>
      <c r="J391" s="11">
        <f t="shared" si="195"/>
        <v>0.30157005518623103</v>
      </c>
      <c r="K391" s="10">
        <f t="shared" si="196"/>
        <v>0.38404946527966527</v>
      </c>
      <c r="L391" s="12">
        <f t="shared" si="199"/>
        <v>76.80989305593306</v>
      </c>
      <c r="M391" s="11">
        <f>200-42</f>
        <v>158</v>
      </c>
      <c r="N391" s="11">
        <f t="shared" si="197"/>
        <v>0.30157005518623103</v>
      </c>
      <c r="O391" s="10">
        <f t="shared" si="198"/>
        <v>0.38404946527966527</v>
      </c>
      <c r="P391" s="12">
        <f t="shared" si="188"/>
        <v>60.679815514187112</v>
      </c>
      <c r="Q391" s="148"/>
      <c r="R391" s="74"/>
      <c r="S391" s="47">
        <f>F391-'[1]CORREÇÃO DOS ITENS DIVERGENTES'!$P352</f>
        <v>0</v>
      </c>
      <c r="T391" s="12">
        <f t="shared" si="177"/>
        <v>15.83242789727713</v>
      </c>
      <c r="V391" s="41"/>
    </row>
    <row r="392" spans="1:22" hidden="1">
      <c r="A392" s="118">
        <v>27011000</v>
      </c>
      <c r="B392" s="89" t="s">
        <v>494</v>
      </c>
      <c r="C392" s="89" t="s">
        <v>495</v>
      </c>
      <c r="D392" s="90" t="s">
        <v>19</v>
      </c>
      <c r="E392" s="91">
        <v>52</v>
      </c>
      <c r="F392" s="11">
        <f>VLOOKUP(A392,'[1]CORREÇÃO DOS ITENS DIVERGENTES'!$A$13:$G$490,7)</f>
        <v>0.14191532008763813</v>
      </c>
      <c r="G392" s="91">
        <f t="shared" si="179"/>
        <v>0.17739415010954768</v>
      </c>
      <c r="H392" s="12">
        <f t="shared" si="194"/>
        <v>9.2244958056964794</v>
      </c>
      <c r="I392" s="22">
        <f>52+M392</f>
        <v>300</v>
      </c>
      <c r="J392" s="11">
        <f t="shared" si="195"/>
        <v>0.14191532008763813</v>
      </c>
      <c r="K392" s="10">
        <f t="shared" si="196"/>
        <v>0.18072916013160717</v>
      </c>
      <c r="L392" s="12">
        <f t="shared" si="199"/>
        <v>54.218748039482151</v>
      </c>
      <c r="M392" s="11">
        <v>248</v>
      </c>
      <c r="N392" s="11">
        <f t="shared" si="197"/>
        <v>0.14191532008763813</v>
      </c>
      <c r="O392" s="10">
        <f t="shared" si="198"/>
        <v>0.18072916013160717</v>
      </c>
      <c r="P392" s="12">
        <f t="shared" si="188"/>
        <v>44.820831712638579</v>
      </c>
      <c r="Q392" s="148"/>
      <c r="R392" s="74"/>
      <c r="S392" s="47">
        <f>F392-'[1]CORREÇÃO DOS ITENS DIVERGENTES'!$P353</f>
        <v>0</v>
      </c>
      <c r="T392" s="12">
        <f t="shared" si="177"/>
        <v>9.2244958056964794</v>
      </c>
      <c r="V392" s="41"/>
    </row>
    <row r="393" spans="1:22" ht="22.5" hidden="1">
      <c r="A393" s="118">
        <v>27012000</v>
      </c>
      <c r="B393" s="89" t="s">
        <v>389</v>
      </c>
      <c r="C393" s="89" t="s">
        <v>390</v>
      </c>
      <c r="D393" s="90" t="s">
        <v>19</v>
      </c>
      <c r="E393" s="91">
        <v>21</v>
      </c>
      <c r="F393" s="11">
        <f>VLOOKUP(A393,'[1]CORREÇÃO DOS ITENS DIVERGENTES'!$A$13:$G$490,7)</f>
        <v>6.1289678862848715</v>
      </c>
      <c r="G393" s="91">
        <f t="shared" si="179"/>
        <v>7.6612098578560897</v>
      </c>
      <c r="H393" s="12">
        <f t="shared" si="194"/>
        <v>160.88540701497789</v>
      </c>
      <c r="I393" s="22">
        <v>0</v>
      </c>
      <c r="J393" s="11">
        <f t="shared" si="195"/>
        <v>6.1289678862848715</v>
      </c>
      <c r="K393" s="10">
        <f t="shared" si="196"/>
        <v>7.8052406031837842</v>
      </c>
      <c r="L393" s="12">
        <f t="shared" si="199"/>
        <v>0</v>
      </c>
      <c r="M393" s="11">
        <f>I393-E393</f>
        <v>-21</v>
      </c>
      <c r="N393" s="11">
        <f t="shared" si="197"/>
        <v>6.1289678862848715</v>
      </c>
      <c r="O393" s="10">
        <f t="shared" si="198"/>
        <v>7.8052406031837842</v>
      </c>
      <c r="P393" s="12">
        <f t="shared" si="188"/>
        <v>-163.91005266685946</v>
      </c>
      <c r="Q393" s="148"/>
      <c r="R393" s="74"/>
      <c r="S393" s="47">
        <f>F393-'[1]CORREÇÃO DOS ITENS DIVERGENTES'!$P354</f>
        <v>0</v>
      </c>
      <c r="T393" s="12">
        <f t="shared" si="177"/>
        <v>160.88540701497789</v>
      </c>
      <c r="V393" s="41"/>
    </row>
    <row r="394" spans="1:22" hidden="1">
      <c r="A394" s="118">
        <v>27013000</v>
      </c>
      <c r="B394" s="89" t="s">
        <v>496</v>
      </c>
      <c r="C394" s="89" t="s">
        <v>497</v>
      </c>
      <c r="D394" s="90" t="s">
        <v>19</v>
      </c>
      <c r="E394" s="91">
        <v>52</v>
      </c>
      <c r="F394" s="11">
        <f>VLOOKUP(A394,'[1]CORREÇÃO DOS ITENS DIVERGENTES'!$A$13:$G$490,7)</f>
        <v>0.53218245032864286</v>
      </c>
      <c r="G394" s="91">
        <f t="shared" si="179"/>
        <v>0.66522806291080361</v>
      </c>
      <c r="H394" s="12">
        <f t="shared" si="194"/>
        <v>34.591859271361784</v>
      </c>
      <c r="I394" s="22">
        <f>52+M394</f>
        <v>600</v>
      </c>
      <c r="J394" s="11">
        <f t="shared" si="195"/>
        <v>0.53218245032864286</v>
      </c>
      <c r="K394" s="10">
        <f t="shared" si="196"/>
        <v>0.6777343504935267</v>
      </c>
      <c r="L394" s="12">
        <f t="shared" si="199"/>
        <v>406.64061029611605</v>
      </c>
      <c r="M394" s="11">
        <f>600-52</f>
        <v>548</v>
      </c>
      <c r="N394" s="11">
        <f t="shared" si="197"/>
        <v>0.53218245032864286</v>
      </c>
      <c r="O394" s="10">
        <f t="shared" si="198"/>
        <v>0.6777343504935267</v>
      </c>
      <c r="P394" s="12">
        <f t="shared" si="188"/>
        <v>371.39842407045262</v>
      </c>
      <c r="Q394" s="148"/>
      <c r="R394" s="74"/>
      <c r="S394" s="47">
        <f>F394-'[1]CORREÇÃO DOS ITENS DIVERGENTES'!$P355</f>
        <v>0</v>
      </c>
      <c r="T394" s="12">
        <f t="shared" si="177"/>
        <v>34.591859271361784</v>
      </c>
      <c r="V394" s="41"/>
    </row>
    <row r="395" spans="1:22" hidden="1">
      <c r="A395" s="118">
        <v>27014000</v>
      </c>
      <c r="B395" s="89" t="s">
        <v>399</v>
      </c>
      <c r="C395" s="89" t="s">
        <v>400</v>
      </c>
      <c r="D395" s="90" t="s">
        <v>102</v>
      </c>
      <c r="E395" s="91">
        <v>21</v>
      </c>
      <c r="F395" s="11">
        <f>VLOOKUP(A395,'[1]CORREÇÃO DOS ITENS DIVERGENTES'!$A$13:$G$490,7)</f>
        <v>13.827874001039239</v>
      </c>
      <c r="G395" s="91">
        <f t="shared" si="179"/>
        <v>17.28484250129905</v>
      </c>
      <c r="H395" s="12">
        <f t="shared" si="194"/>
        <v>362.98169252728002</v>
      </c>
      <c r="I395" s="22">
        <f>21+M395</f>
        <v>300</v>
      </c>
      <c r="J395" s="11">
        <f t="shared" si="195"/>
        <v>13.827874001039239</v>
      </c>
      <c r="K395" s="10">
        <f t="shared" si="196"/>
        <v>17.609797540323473</v>
      </c>
      <c r="L395" s="12">
        <f t="shared" si="199"/>
        <v>5282.939262097042</v>
      </c>
      <c r="M395" s="11">
        <f>300-21</f>
        <v>279</v>
      </c>
      <c r="N395" s="11">
        <f t="shared" si="197"/>
        <v>13.827874001039239</v>
      </c>
      <c r="O395" s="10">
        <f t="shared" si="198"/>
        <v>17.609797540323473</v>
      </c>
      <c r="P395" s="12">
        <f t="shared" si="188"/>
        <v>4913.1335137502492</v>
      </c>
      <c r="Q395" s="148"/>
      <c r="R395" s="74"/>
      <c r="S395" s="47">
        <f>F395-'[1]CORREÇÃO DOS ITENS DIVERGENTES'!$P356</f>
        <v>0</v>
      </c>
      <c r="T395" s="12">
        <f t="shared" si="177"/>
        <v>362.98169252728002</v>
      </c>
      <c r="V395" s="41"/>
    </row>
    <row r="396" spans="1:22" hidden="1">
      <c r="A396" s="118">
        <v>27015000</v>
      </c>
      <c r="B396" s="89" t="s">
        <v>498</v>
      </c>
      <c r="C396" s="89" t="s">
        <v>499</v>
      </c>
      <c r="D396" s="90" t="s">
        <v>102</v>
      </c>
      <c r="E396" s="91">
        <v>7</v>
      </c>
      <c r="F396" s="11">
        <f>VLOOKUP(A396,'[1]CORREÇÃO DOS ITENS DIVERGENTES'!$A$13:$G$490,7)</f>
        <v>4.4082446302222591</v>
      </c>
      <c r="G396" s="91">
        <f t="shared" si="179"/>
        <v>5.5103057877778241</v>
      </c>
      <c r="H396" s="12">
        <f t="shared" si="194"/>
        <v>38.572140514444769</v>
      </c>
      <c r="I396" s="22">
        <f>7+M396</f>
        <v>100</v>
      </c>
      <c r="J396" s="11">
        <f t="shared" si="195"/>
        <v>4.4082446302222591</v>
      </c>
      <c r="K396" s="10">
        <f t="shared" si="196"/>
        <v>5.6138995365880469</v>
      </c>
      <c r="L396" s="12">
        <f t="shared" si="199"/>
        <v>561.38995365880464</v>
      </c>
      <c r="M396" s="11">
        <f>100-7</f>
        <v>93</v>
      </c>
      <c r="N396" s="11">
        <f t="shared" si="197"/>
        <v>4.4082446302222591</v>
      </c>
      <c r="O396" s="10">
        <f t="shared" si="198"/>
        <v>5.6138995365880469</v>
      </c>
      <c r="P396" s="12">
        <f t="shared" si="188"/>
        <v>522.0926569026883</v>
      </c>
      <c r="Q396" s="148"/>
      <c r="R396" s="74"/>
      <c r="S396" s="47">
        <f>F396-'[1]CORREÇÃO DOS ITENS DIVERGENTES'!$P357</f>
        <v>0</v>
      </c>
      <c r="T396" s="12">
        <f t="shared" si="177"/>
        <v>38.572140514444769</v>
      </c>
      <c r="V396" s="41"/>
    </row>
    <row r="397" spans="1:22" hidden="1">
      <c r="A397" s="118">
        <v>27016000</v>
      </c>
      <c r="B397" s="89" t="s">
        <v>500</v>
      </c>
      <c r="C397" s="89" t="s">
        <v>501</v>
      </c>
      <c r="D397" s="90" t="s">
        <v>19</v>
      </c>
      <c r="E397" s="91">
        <v>21</v>
      </c>
      <c r="F397" s="11">
        <f>VLOOKUP(A397,'[1]CORREÇÃO DOS ITENS DIVERGENTES'!$A$13:$G$490,7)</f>
        <v>4.6033781953427617</v>
      </c>
      <c r="G397" s="91">
        <f t="shared" si="179"/>
        <v>5.7542227441784526</v>
      </c>
      <c r="H397" s="12">
        <f t="shared" si="194"/>
        <v>120.8386776277475</v>
      </c>
      <c r="I397" s="22">
        <v>0</v>
      </c>
      <c r="J397" s="11">
        <f t="shared" si="195"/>
        <v>4.6033781953427617</v>
      </c>
      <c r="K397" s="10">
        <f t="shared" si="196"/>
        <v>5.8624021317690076</v>
      </c>
      <c r="L397" s="12">
        <f t="shared" si="199"/>
        <v>0</v>
      </c>
      <c r="M397" s="11">
        <f>I397-E397</f>
        <v>-21</v>
      </c>
      <c r="N397" s="11">
        <f t="shared" si="197"/>
        <v>4.6033781953427617</v>
      </c>
      <c r="O397" s="10">
        <f t="shared" si="198"/>
        <v>5.8624021317690076</v>
      </c>
      <c r="P397" s="12">
        <f t="shared" si="188"/>
        <v>-123.11044476714916</v>
      </c>
      <c r="Q397" s="148"/>
      <c r="R397" s="74"/>
      <c r="S397" s="47">
        <f>F397-'[1]CORREÇÃO DOS ITENS DIVERGENTES'!$P358</f>
        <v>0</v>
      </c>
      <c r="T397" s="12">
        <f t="shared" si="177"/>
        <v>120.8386776277475</v>
      </c>
      <c r="V397" s="41"/>
    </row>
    <row r="398" spans="1:22" ht="22.5" hidden="1">
      <c r="A398" s="118">
        <v>27017000</v>
      </c>
      <c r="B398" s="89" t="s">
        <v>502</v>
      </c>
      <c r="C398" s="89" t="s">
        <v>503</v>
      </c>
      <c r="D398" s="90" t="s">
        <v>19</v>
      </c>
      <c r="E398" s="91">
        <v>22</v>
      </c>
      <c r="F398" s="11">
        <f>VLOOKUP(A398,'[1]CORREÇÃO DOS ITENS DIVERGENTES'!$A$13:$G$490,7)</f>
        <v>149.05543462954742</v>
      </c>
      <c r="G398" s="91">
        <f t="shared" si="179"/>
        <v>186.31929328693428</v>
      </c>
      <c r="H398" s="12">
        <f t="shared" si="194"/>
        <v>4099.0244523125539</v>
      </c>
      <c r="I398" s="22">
        <v>22</v>
      </c>
      <c r="J398" s="11">
        <f t="shared" si="195"/>
        <v>149.05543462954742</v>
      </c>
      <c r="K398" s="10">
        <f t="shared" si="196"/>
        <v>189.82209600072866</v>
      </c>
      <c r="L398" s="12">
        <f t="shared" si="199"/>
        <v>4176.0861120160307</v>
      </c>
      <c r="M398" s="11">
        <v>0</v>
      </c>
      <c r="N398" s="11">
        <f t="shared" si="197"/>
        <v>149.05543462954742</v>
      </c>
      <c r="O398" s="10">
        <f t="shared" si="198"/>
        <v>189.82209600072866</v>
      </c>
      <c r="P398" s="12">
        <f t="shared" si="188"/>
        <v>0</v>
      </c>
      <c r="Q398" s="148"/>
      <c r="R398" s="74"/>
      <c r="S398" s="47">
        <f>F398-'[1]CORREÇÃO DOS ITENS DIVERGENTES'!$P359</f>
        <v>0</v>
      </c>
      <c r="T398" s="12">
        <f t="shared" si="177"/>
        <v>4099.0244523125539</v>
      </c>
      <c r="V398" s="41"/>
    </row>
    <row r="399" spans="1:22" ht="22.5" hidden="1">
      <c r="A399" s="118">
        <v>27018000</v>
      </c>
      <c r="B399" s="89" t="s">
        <v>504</v>
      </c>
      <c r="C399" s="89" t="s">
        <v>505</v>
      </c>
      <c r="D399" s="90" t="s">
        <v>19</v>
      </c>
      <c r="E399" s="91">
        <v>1</v>
      </c>
      <c r="F399" s="11">
        <f>VLOOKUP(A399,'[1]CORREÇÃO DOS ITENS DIVERGENTES'!$A$13:$G$490,7)</f>
        <v>140.18572712407004</v>
      </c>
      <c r="G399" s="91">
        <f t="shared" si="179"/>
        <v>175.23215890508754</v>
      </c>
      <c r="H399" s="12">
        <f t="shared" si="194"/>
        <v>175.23215890508754</v>
      </c>
      <c r="I399" s="22">
        <v>1</v>
      </c>
      <c r="J399" s="11">
        <f t="shared" si="195"/>
        <v>140.18572712407004</v>
      </c>
      <c r="K399" s="10">
        <f t="shared" si="196"/>
        <v>178.5265234925032</v>
      </c>
      <c r="L399" s="12">
        <f t="shared" si="199"/>
        <v>178.5265234925032</v>
      </c>
      <c r="M399" s="11">
        <v>0</v>
      </c>
      <c r="N399" s="11">
        <f t="shared" si="197"/>
        <v>140.18572712407004</v>
      </c>
      <c r="O399" s="10">
        <f t="shared" si="198"/>
        <v>178.5265234925032</v>
      </c>
      <c r="P399" s="12">
        <f t="shared" si="188"/>
        <v>0</v>
      </c>
      <c r="Q399" s="148"/>
      <c r="R399" s="74"/>
      <c r="S399" s="47">
        <f>F399-'[1]CORREÇÃO DOS ITENS DIVERGENTES'!$P360</f>
        <v>0</v>
      </c>
      <c r="T399" s="12">
        <f t="shared" si="177"/>
        <v>175.23215890508754</v>
      </c>
      <c r="V399" s="41"/>
    </row>
    <row r="400" spans="1:22" ht="22.5">
      <c r="A400" s="118">
        <v>27019000</v>
      </c>
      <c r="B400" s="89" t="s">
        <v>506</v>
      </c>
      <c r="C400" s="89" t="s">
        <v>507</v>
      </c>
      <c r="D400" s="90" t="s">
        <v>19</v>
      </c>
      <c r="E400" s="91">
        <v>2</v>
      </c>
      <c r="F400" s="35">
        <v>65.900000000000006</v>
      </c>
      <c r="G400" s="91">
        <f t="shared" si="179"/>
        <v>82.375</v>
      </c>
      <c r="H400" s="12">
        <f t="shared" ref="H400:H408" si="200">E400*F400</f>
        <v>131.80000000000001</v>
      </c>
      <c r="I400" s="22">
        <v>5</v>
      </c>
      <c r="J400" s="11">
        <f t="shared" si="195"/>
        <v>65.900000000000006</v>
      </c>
      <c r="K400" s="10">
        <f t="shared" si="196"/>
        <v>83.923650000000009</v>
      </c>
      <c r="L400" s="12">
        <f t="shared" si="199"/>
        <v>419.61825000000005</v>
      </c>
      <c r="M400" s="11">
        <v>0</v>
      </c>
      <c r="N400" s="11">
        <f t="shared" si="197"/>
        <v>65.900000000000006</v>
      </c>
      <c r="O400" s="10">
        <f t="shared" si="198"/>
        <v>83.923650000000009</v>
      </c>
      <c r="P400" s="12">
        <f t="shared" si="188"/>
        <v>0</v>
      </c>
      <c r="Q400" s="148"/>
      <c r="R400" s="74"/>
      <c r="S400" s="47">
        <f>F400-'[1]CORREÇÃO DOS ITENS DIVERGENTES'!$P361</f>
        <v>7.4486275389040486</v>
      </c>
      <c r="T400" s="12">
        <f t="shared" ref="T400:T463" si="201">E400*G400</f>
        <v>164.75</v>
      </c>
      <c r="V400" s="41"/>
    </row>
    <row r="401" spans="1:22" ht="22.5" hidden="1">
      <c r="A401" s="118">
        <v>27020000</v>
      </c>
      <c r="B401" s="89" t="s">
        <v>508</v>
      </c>
      <c r="C401" s="89" t="s">
        <v>509</v>
      </c>
      <c r="D401" s="90" t="s">
        <v>19</v>
      </c>
      <c r="E401" s="91">
        <v>21</v>
      </c>
      <c r="F401" s="35">
        <f>VLOOKUP(A401,'[1]CORREÇÃO DOS ITENS DIVERGENTES'!$A$13:$G$490,7)</f>
        <v>8.6124859878185394</v>
      </c>
      <c r="G401" s="91">
        <f t="shared" si="179"/>
        <v>10.765607484773174</v>
      </c>
      <c r="H401" s="12">
        <f t="shared" si="200"/>
        <v>180.86220574418934</v>
      </c>
      <c r="I401" s="22">
        <f>21+M401</f>
        <v>100</v>
      </c>
      <c r="J401" s="11">
        <f t="shared" si="195"/>
        <v>8.6124859878185394</v>
      </c>
      <c r="K401" s="10">
        <f t="shared" si="196"/>
        <v>10.96800090548691</v>
      </c>
      <c r="L401" s="12">
        <f t="shared" si="199"/>
        <v>1096.8000905486911</v>
      </c>
      <c r="M401" s="11">
        <f>100-21</f>
        <v>79</v>
      </c>
      <c r="N401" s="11">
        <f t="shared" si="197"/>
        <v>8.6124859878185394</v>
      </c>
      <c r="O401" s="10">
        <f t="shared" si="198"/>
        <v>10.96800090548691</v>
      </c>
      <c r="P401" s="12">
        <f t="shared" si="188"/>
        <v>866.47207153346596</v>
      </c>
      <c r="Q401" s="148"/>
      <c r="R401" s="74"/>
      <c r="S401" s="47">
        <f>F401-'[1]CORREÇÃO DOS ITENS DIVERGENTES'!$P362</f>
        <v>0</v>
      </c>
      <c r="T401" s="12">
        <f t="shared" si="201"/>
        <v>226.07775718023666</v>
      </c>
      <c r="V401" s="41"/>
    </row>
    <row r="402" spans="1:22" ht="22.5" hidden="1">
      <c r="A402" s="118">
        <v>27021000</v>
      </c>
      <c r="B402" s="89" t="s">
        <v>510</v>
      </c>
      <c r="C402" s="89" t="s">
        <v>511</v>
      </c>
      <c r="D402" s="90" t="s">
        <v>19</v>
      </c>
      <c r="E402" s="91">
        <v>52</v>
      </c>
      <c r="F402" s="35">
        <f>VLOOKUP(A402,'[1]CORREÇÃO DOS ITENS DIVERGENTES'!$A$13:$G$490,7)</f>
        <v>8.6124859878185394</v>
      </c>
      <c r="G402" s="91">
        <f t="shared" si="179"/>
        <v>10.765607484773174</v>
      </c>
      <c r="H402" s="12">
        <f t="shared" si="200"/>
        <v>447.84927136656404</v>
      </c>
      <c r="I402" s="22">
        <v>52</v>
      </c>
      <c r="J402" s="11">
        <f t="shared" si="195"/>
        <v>8.6124859878185394</v>
      </c>
      <c r="K402" s="10">
        <f t="shared" si="196"/>
        <v>10.96800090548691</v>
      </c>
      <c r="L402" s="12">
        <f t="shared" si="199"/>
        <v>570.33604708531936</v>
      </c>
      <c r="M402" s="11">
        <v>0</v>
      </c>
      <c r="N402" s="11">
        <f t="shared" si="197"/>
        <v>8.6124859878185394</v>
      </c>
      <c r="O402" s="10">
        <f t="shared" si="198"/>
        <v>10.96800090548691</v>
      </c>
      <c r="P402" s="12">
        <f t="shared" si="188"/>
        <v>0</v>
      </c>
      <c r="Q402" s="148"/>
      <c r="R402" s="74"/>
      <c r="S402" s="47">
        <f>F402-'[1]CORREÇÃO DOS ITENS DIVERGENTES'!$P363</f>
        <v>0</v>
      </c>
      <c r="T402" s="12">
        <f t="shared" si="201"/>
        <v>559.81158920820508</v>
      </c>
      <c r="V402" s="41"/>
    </row>
    <row r="403" spans="1:22" hidden="1">
      <c r="A403" s="118">
        <v>27022000</v>
      </c>
      <c r="B403" s="89" t="s">
        <v>512</v>
      </c>
      <c r="C403" s="89" t="s">
        <v>513</v>
      </c>
      <c r="D403" s="90" t="s">
        <v>102</v>
      </c>
      <c r="E403" s="91">
        <v>123.07</v>
      </c>
      <c r="F403" s="35">
        <f>VLOOKUP(A403,'[1]CORREÇÃO DOS ITENS DIVERGENTES'!$A$13:$G$490,7)</f>
        <v>2.3859513189734156</v>
      </c>
      <c r="G403" s="91">
        <f t="shared" ref="G403:G466" si="202">F403*1.25</f>
        <v>2.9824391487167694</v>
      </c>
      <c r="H403" s="12">
        <f t="shared" si="200"/>
        <v>293.63902882605822</v>
      </c>
      <c r="I403" s="22">
        <f>123.07+M403</f>
        <v>150</v>
      </c>
      <c r="J403" s="11">
        <f t="shared" si="195"/>
        <v>2.3859513189734156</v>
      </c>
      <c r="K403" s="10">
        <f t="shared" si="196"/>
        <v>3.0385090047126448</v>
      </c>
      <c r="L403" s="12">
        <f t="shared" si="199"/>
        <v>455.77635070689672</v>
      </c>
      <c r="M403" s="11">
        <f>150-123.07</f>
        <v>26.930000000000007</v>
      </c>
      <c r="N403" s="11">
        <f t="shared" si="197"/>
        <v>2.3859513189734156</v>
      </c>
      <c r="O403" s="10">
        <f t="shared" si="198"/>
        <v>3.0385090047126448</v>
      </c>
      <c r="P403" s="12">
        <f t="shared" si="188"/>
        <v>81.827047496911547</v>
      </c>
      <c r="Q403" s="148"/>
      <c r="R403" s="74"/>
      <c r="S403" s="47">
        <f>F403-'[1]CORREÇÃO DOS ITENS DIVERGENTES'!$P364</f>
        <v>0</v>
      </c>
      <c r="T403" s="12">
        <f t="shared" si="201"/>
        <v>367.04878603257276</v>
      </c>
      <c r="V403" s="41"/>
    </row>
    <row r="404" spans="1:22" ht="22.5" hidden="1">
      <c r="A404" s="118">
        <v>27023000</v>
      </c>
      <c r="B404" s="89" t="s">
        <v>514</v>
      </c>
      <c r="C404" s="89" t="s">
        <v>515</v>
      </c>
      <c r="D404" s="90" t="s">
        <v>19</v>
      </c>
      <c r="E404" s="91">
        <v>64</v>
      </c>
      <c r="F404" s="35">
        <f>VLOOKUP(A404,'[1]CORREÇÃO DOS ITENS DIVERGENTES'!$A$13:$G$490,7)</f>
        <v>2.7052607891706013</v>
      </c>
      <c r="G404" s="91">
        <f t="shared" si="202"/>
        <v>3.3815759864632517</v>
      </c>
      <c r="H404" s="12">
        <f t="shared" si="200"/>
        <v>173.13669050691848</v>
      </c>
      <c r="I404" s="22">
        <v>0</v>
      </c>
      <c r="J404" s="11">
        <f t="shared" si="195"/>
        <v>2.7052607891706013</v>
      </c>
      <c r="K404" s="10">
        <f t="shared" si="196"/>
        <v>3.445149615008761</v>
      </c>
      <c r="L404" s="12">
        <f t="shared" si="199"/>
        <v>0</v>
      </c>
      <c r="M404" s="11">
        <f>I404-E404</f>
        <v>-64</v>
      </c>
      <c r="N404" s="11">
        <f t="shared" si="197"/>
        <v>2.7052607891706013</v>
      </c>
      <c r="O404" s="10">
        <f t="shared" si="198"/>
        <v>3.445149615008761</v>
      </c>
      <c r="P404" s="12">
        <f t="shared" si="188"/>
        <v>-220.48957536056071</v>
      </c>
      <c r="Q404" s="148"/>
      <c r="R404" s="74"/>
      <c r="S404" s="47">
        <f>F404-'[1]CORREÇÃO DOS ITENS DIVERGENTES'!$P365</f>
        <v>0</v>
      </c>
      <c r="T404" s="12">
        <f t="shared" si="201"/>
        <v>216.42086313364811</v>
      </c>
      <c r="V404" s="41"/>
    </row>
    <row r="405" spans="1:22" ht="22.5" hidden="1">
      <c r="A405" s="118">
        <v>27024000</v>
      </c>
      <c r="B405" s="89" t="s">
        <v>516</v>
      </c>
      <c r="C405" s="89" t="s">
        <v>517</v>
      </c>
      <c r="D405" s="90" t="s">
        <v>19</v>
      </c>
      <c r="E405" s="91">
        <v>26</v>
      </c>
      <c r="F405" s="35">
        <f>VLOOKUP(A405,'[1]CORREÇÃO DOS ITENS DIVERGENTES'!$A$13:$G$490,7)</f>
        <v>11.903147472350646</v>
      </c>
      <c r="G405" s="91">
        <f t="shared" si="202"/>
        <v>14.878934340438308</v>
      </c>
      <c r="H405" s="12">
        <f t="shared" si="200"/>
        <v>309.48183428111679</v>
      </c>
      <c r="I405" s="22">
        <v>0</v>
      </c>
      <c r="J405" s="11">
        <f t="shared" si="195"/>
        <v>11.903147472350646</v>
      </c>
      <c r="K405" s="10">
        <f t="shared" si="196"/>
        <v>15.158658306038548</v>
      </c>
      <c r="L405" s="12">
        <f t="shared" si="199"/>
        <v>0</v>
      </c>
      <c r="M405" s="11">
        <f>I405-E405</f>
        <v>-26</v>
      </c>
      <c r="N405" s="11">
        <f t="shared" si="197"/>
        <v>11.903147472350646</v>
      </c>
      <c r="O405" s="10">
        <f t="shared" si="198"/>
        <v>15.158658306038548</v>
      </c>
      <c r="P405" s="12">
        <f t="shared" si="188"/>
        <v>-394.12511595700227</v>
      </c>
      <c r="Q405" s="148"/>
      <c r="R405" s="74"/>
      <c r="S405" s="47">
        <f>F405-'[1]CORREÇÃO DOS ITENS DIVERGENTES'!$P366</f>
        <v>0</v>
      </c>
      <c r="T405" s="12">
        <f t="shared" si="201"/>
        <v>386.85229285139599</v>
      </c>
      <c r="V405" s="41"/>
    </row>
    <row r="406" spans="1:22" hidden="1">
      <c r="A406" s="118">
        <v>27025000</v>
      </c>
      <c r="B406" s="89" t="s">
        <v>518</v>
      </c>
      <c r="C406" s="89" t="s">
        <v>519</v>
      </c>
      <c r="D406" s="90" t="s">
        <v>19</v>
      </c>
      <c r="E406" s="91">
        <v>42</v>
      </c>
      <c r="F406" s="35">
        <f>VLOOKUP(A406,'[1]CORREÇÃO DOS ITENS DIVERGENTES'!$A$13:$G$490,7)</f>
        <v>6.173316423812258</v>
      </c>
      <c r="G406" s="91">
        <f t="shared" si="202"/>
        <v>7.7166455297653229</v>
      </c>
      <c r="H406" s="12">
        <f t="shared" si="200"/>
        <v>259.27928980011484</v>
      </c>
      <c r="I406" s="22">
        <v>0</v>
      </c>
      <c r="J406" s="11">
        <f t="shared" si="195"/>
        <v>6.173316423812258</v>
      </c>
      <c r="K406" s="10">
        <f t="shared" si="196"/>
        <v>7.8617184657249108</v>
      </c>
      <c r="L406" s="12">
        <f t="shared" si="199"/>
        <v>0</v>
      </c>
      <c r="M406" s="11">
        <f>I406-E406</f>
        <v>-42</v>
      </c>
      <c r="N406" s="11">
        <f t="shared" si="197"/>
        <v>6.173316423812258</v>
      </c>
      <c r="O406" s="10">
        <f t="shared" si="198"/>
        <v>7.8617184657249108</v>
      </c>
      <c r="P406" s="12">
        <f t="shared" si="188"/>
        <v>-330.19217556044623</v>
      </c>
      <c r="Q406" s="148"/>
      <c r="R406" s="74"/>
      <c r="S406" s="47">
        <f>F406-'[1]CORREÇÃO DOS ITENS DIVERGENTES'!$P367</f>
        <v>0</v>
      </c>
      <c r="T406" s="12">
        <f t="shared" si="201"/>
        <v>324.09911225014355</v>
      </c>
      <c r="V406" s="41"/>
    </row>
    <row r="407" spans="1:22" hidden="1">
      <c r="A407" s="118">
        <v>27026000</v>
      </c>
      <c r="B407" s="89" t="s">
        <v>520</v>
      </c>
      <c r="C407" s="89" t="s">
        <v>521</v>
      </c>
      <c r="D407" s="90" t="s">
        <v>19</v>
      </c>
      <c r="E407" s="91">
        <v>5</v>
      </c>
      <c r="F407" s="35">
        <f>VLOOKUP(A407,'[1]CORREÇÃO DOS ITENS DIVERGENTES'!$A$13:$G$490,7)</f>
        <v>2.616563714115828</v>
      </c>
      <c r="G407" s="91">
        <f t="shared" si="202"/>
        <v>3.2707046426447848</v>
      </c>
      <c r="H407" s="12">
        <f t="shared" si="200"/>
        <v>13.082818570579139</v>
      </c>
      <c r="I407" s="22">
        <f>5+M407</f>
        <v>20</v>
      </c>
      <c r="J407" s="11">
        <f t="shared" si="195"/>
        <v>2.616563714115828</v>
      </c>
      <c r="K407" s="10">
        <f t="shared" si="196"/>
        <v>3.3321938899265073</v>
      </c>
      <c r="L407" s="12">
        <f t="shared" si="199"/>
        <v>66.643877798530141</v>
      </c>
      <c r="M407" s="11">
        <f>20-5</f>
        <v>15</v>
      </c>
      <c r="N407" s="11">
        <f t="shared" si="197"/>
        <v>2.616563714115828</v>
      </c>
      <c r="O407" s="10">
        <f t="shared" si="198"/>
        <v>3.3321938899265073</v>
      </c>
      <c r="P407" s="12">
        <f t="shared" si="188"/>
        <v>49.98290834889761</v>
      </c>
      <c r="Q407" s="148"/>
      <c r="R407" s="74"/>
      <c r="S407" s="47">
        <f>F407-'[1]CORREÇÃO DOS ITENS DIVERGENTES'!$P368</f>
        <v>0</v>
      </c>
      <c r="T407" s="12">
        <f t="shared" si="201"/>
        <v>16.353523213223923</v>
      </c>
      <c r="V407" s="41"/>
    </row>
    <row r="408" spans="1:22">
      <c r="A408" s="118">
        <v>27027000</v>
      </c>
      <c r="B408" s="89" t="s">
        <v>522</v>
      </c>
      <c r="C408" s="89" t="s">
        <v>523</v>
      </c>
      <c r="D408" s="90" t="s">
        <v>19</v>
      </c>
      <c r="E408" s="91">
        <v>2</v>
      </c>
      <c r="F408" s="35">
        <v>1670.65</v>
      </c>
      <c r="G408" s="91">
        <f t="shared" si="202"/>
        <v>2088.3125</v>
      </c>
      <c r="H408" s="12">
        <f t="shared" si="200"/>
        <v>3341.3</v>
      </c>
      <c r="I408" s="22">
        <v>2</v>
      </c>
      <c r="J408" s="11">
        <f t="shared" si="195"/>
        <v>1670.65</v>
      </c>
      <c r="K408" s="10">
        <f t="shared" si="196"/>
        <v>2127.5727750000001</v>
      </c>
      <c r="L408" s="12">
        <f t="shared" si="199"/>
        <v>4255.1455500000002</v>
      </c>
      <c r="M408" s="11">
        <v>0</v>
      </c>
      <c r="N408" s="11">
        <f t="shared" si="197"/>
        <v>1670.65</v>
      </c>
      <c r="O408" s="10">
        <f t="shared" si="198"/>
        <v>2127.5727750000001</v>
      </c>
      <c r="P408" s="12">
        <f t="shared" si="188"/>
        <v>0</v>
      </c>
      <c r="Q408" s="148"/>
      <c r="R408" s="74"/>
      <c r="S408" s="47">
        <f>F408-'[1]CORREÇÃO DOS ITENS DIVERGENTES'!$P369</f>
        <v>188.83231559742126</v>
      </c>
      <c r="T408" s="12">
        <f t="shared" si="201"/>
        <v>4176.625</v>
      </c>
      <c r="V408" s="36"/>
    </row>
    <row r="409" spans="1:22" ht="22.5" hidden="1">
      <c r="A409" s="118">
        <v>27028000</v>
      </c>
      <c r="B409" s="89" t="s">
        <v>524</v>
      </c>
      <c r="C409" s="89" t="s">
        <v>525</v>
      </c>
      <c r="D409" s="90" t="s">
        <v>19</v>
      </c>
      <c r="E409" s="91">
        <v>42</v>
      </c>
      <c r="F409" s="11">
        <f>VLOOKUP(A409,'[1]CORREÇÃO DOS ITENS DIVERGENTES'!$A$13:$G$490,7)</f>
        <v>3.503534464663566</v>
      </c>
      <c r="G409" s="91">
        <f t="shared" si="202"/>
        <v>4.3794180808294572</v>
      </c>
      <c r="H409" s="12">
        <f>E409*G409</f>
        <v>183.93555939483721</v>
      </c>
      <c r="I409" s="22">
        <v>20</v>
      </c>
      <c r="J409" s="11">
        <f t="shared" si="195"/>
        <v>3.503534464663566</v>
      </c>
      <c r="K409" s="10">
        <f t="shared" si="196"/>
        <v>4.461751140749052</v>
      </c>
      <c r="L409" s="12">
        <f t="shared" si="199"/>
        <v>89.235022814981036</v>
      </c>
      <c r="M409" s="11">
        <f>I409-E409</f>
        <v>-22</v>
      </c>
      <c r="N409" s="11">
        <f t="shared" si="197"/>
        <v>3.503534464663566</v>
      </c>
      <c r="O409" s="10">
        <f t="shared" si="198"/>
        <v>4.461751140749052</v>
      </c>
      <c r="P409" s="12">
        <f t="shared" si="188"/>
        <v>-98.158525096479138</v>
      </c>
      <c r="Q409" s="148"/>
      <c r="R409" s="74"/>
      <c r="S409" s="47">
        <f>F409-'[1]CORREÇÃO DOS ITENS DIVERGENTES'!$P370</f>
        <v>0</v>
      </c>
      <c r="T409" s="12">
        <f t="shared" si="201"/>
        <v>183.93555939483721</v>
      </c>
      <c r="V409" s="41"/>
    </row>
    <row r="410" spans="1:22" s="8" customFormat="1" ht="14.25" hidden="1" customHeight="1">
      <c r="A410" s="126">
        <v>28000000</v>
      </c>
      <c r="B410" s="98"/>
      <c r="C410" s="187" t="s">
        <v>526</v>
      </c>
      <c r="D410" s="187"/>
      <c r="E410" s="187"/>
      <c r="F410" s="187"/>
      <c r="G410" s="91">
        <f t="shared" si="202"/>
        <v>0</v>
      </c>
      <c r="H410" s="87">
        <f>SUM(H411:H443)</f>
        <v>21039.795034000625</v>
      </c>
      <c r="I410" s="27"/>
      <c r="J410" s="27"/>
      <c r="K410" s="27"/>
      <c r="L410" s="46">
        <f>SUM(L411:L449)</f>
        <v>34712.290433276183</v>
      </c>
      <c r="M410" s="27"/>
      <c r="N410" s="27"/>
      <c r="O410" s="27"/>
      <c r="P410" s="26">
        <f>SUM(P411:P449)</f>
        <v>13276.947252636344</v>
      </c>
      <c r="Q410" s="160">
        <f t="shared" si="184"/>
        <v>47989.237685912529</v>
      </c>
      <c r="R410" s="159"/>
      <c r="S410" s="159"/>
      <c r="T410" s="12">
        <f t="shared" si="201"/>
        <v>0</v>
      </c>
      <c r="V410" s="42"/>
    </row>
    <row r="411" spans="1:22" hidden="1">
      <c r="A411" s="118">
        <v>28001000</v>
      </c>
      <c r="B411" s="89">
        <v>73613</v>
      </c>
      <c r="C411" s="89" t="s">
        <v>349</v>
      </c>
      <c r="D411" s="90" t="s">
        <v>102</v>
      </c>
      <c r="E411" s="91">
        <v>564.16</v>
      </c>
      <c r="F411" s="11">
        <f>VLOOKUP(A411,'[1]CORREÇÃO DOS ITENS DIVERGENTES'!$A$13:$G$490,7)</f>
        <v>3.9558895474429123</v>
      </c>
      <c r="G411" s="91">
        <f t="shared" si="202"/>
        <v>4.9448619343036402</v>
      </c>
      <c r="H411" s="12">
        <f t="shared" ref="H411:H441" si="203">E411*G411</f>
        <v>2789.6933088567416</v>
      </c>
      <c r="I411" s="22">
        <v>0</v>
      </c>
      <c r="J411" s="11">
        <f t="shared" ref="J411:J441" si="204">F411</f>
        <v>3.9558895474429123</v>
      </c>
      <c r="K411" s="10">
        <f t="shared" ref="K411:K441" si="205">J411*1.2735</f>
        <v>5.037825338668549</v>
      </c>
      <c r="L411" s="12">
        <f>I411*K411</f>
        <v>0</v>
      </c>
      <c r="M411" s="11">
        <f>I411-E411</f>
        <v>-564.16</v>
      </c>
      <c r="N411" s="11">
        <f t="shared" ref="N411:N443" si="206">J411</f>
        <v>3.9558895474429123</v>
      </c>
      <c r="O411" s="10">
        <f t="shared" ref="O411:O443" si="207">N411*1.2735</f>
        <v>5.037825338668549</v>
      </c>
      <c r="P411" s="12">
        <f t="shared" si="188"/>
        <v>-2842.1395430632483</v>
      </c>
      <c r="Q411" s="148"/>
      <c r="R411" s="74"/>
      <c r="S411" s="47">
        <f>F411-'[1]CORREÇÃO DOS ITENS DIVERGENTES'!$P372</f>
        <v>0</v>
      </c>
      <c r="T411" s="12">
        <f t="shared" si="201"/>
        <v>2789.6933088567416</v>
      </c>
      <c r="V411" s="41"/>
    </row>
    <row r="412" spans="1:22" hidden="1">
      <c r="A412" s="118">
        <v>28002000</v>
      </c>
      <c r="B412" s="89" t="s">
        <v>527</v>
      </c>
      <c r="C412" s="89" t="s">
        <v>528</v>
      </c>
      <c r="D412" s="90" t="s">
        <v>102</v>
      </c>
      <c r="E412" s="91">
        <v>155.82</v>
      </c>
      <c r="F412" s="11">
        <f>VLOOKUP(A412,'[1]CORREÇÃO DOS ITENS DIVERGENTES'!$A$13:$G$490,7)</f>
        <v>9.0027531180595428</v>
      </c>
      <c r="G412" s="91">
        <f t="shared" si="202"/>
        <v>11.253441397574429</v>
      </c>
      <c r="H412" s="12">
        <f t="shared" si="203"/>
        <v>1753.5112385700475</v>
      </c>
      <c r="I412" s="22">
        <v>155.82</v>
      </c>
      <c r="J412" s="11">
        <f t="shared" si="204"/>
        <v>9.0027531180595428</v>
      </c>
      <c r="K412" s="10">
        <f t="shared" si="205"/>
        <v>11.465006095848828</v>
      </c>
      <c r="L412" s="12">
        <f t="shared" ref="L412:L442" si="208">I412*K412</f>
        <v>1786.4772498551642</v>
      </c>
      <c r="M412" s="11">
        <v>0</v>
      </c>
      <c r="N412" s="11">
        <f t="shared" si="206"/>
        <v>9.0027531180595428</v>
      </c>
      <c r="O412" s="10">
        <f t="shared" si="207"/>
        <v>11.465006095848828</v>
      </c>
      <c r="P412" s="12">
        <f t="shared" si="188"/>
        <v>0</v>
      </c>
      <c r="Q412" s="148"/>
      <c r="R412" s="74"/>
      <c r="S412" s="47">
        <f>F412-'[1]CORREÇÃO DOS ITENS DIVERGENTES'!$P373</f>
        <v>0</v>
      </c>
      <c r="T412" s="12">
        <f t="shared" si="201"/>
        <v>1753.5112385700475</v>
      </c>
      <c r="V412" s="41"/>
    </row>
    <row r="413" spans="1:22" hidden="1">
      <c r="A413" s="118">
        <v>28003000</v>
      </c>
      <c r="B413" s="89" t="s">
        <v>353</v>
      </c>
      <c r="C413" s="89" t="s">
        <v>354</v>
      </c>
      <c r="D413" s="90" t="s">
        <v>102</v>
      </c>
      <c r="E413" s="91">
        <v>31.91</v>
      </c>
      <c r="F413" s="11">
        <f>VLOOKUP(A413,'[1]CORREÇÃO DOS ITENS DIVERGENTES'!$A$13:$G$490,7)</f>
        <v>6.8296747792175845</v>
      </c>
      <c r="G413" s="91">
        <f t="shared" si="202"/>
        <v>8.5370934740219813</v>
      </c>
      <c r="H413" s="12">
        <f t="shared" si="203"/>
        <v>272.41865275604141</v>
      </c>
      <c r="I413" s="22">
        <v>31.91</v>
      </c>
      <c r="J413" s="11">
        <f t="shared" si="204"/>
        <v>6.8296747792175845</v>
      </c>
      <c r="K413" s="10">
        <f t="shared" si="205"/>
        <v>8.6975908313335939</v>
      </c>
      <c r="L413" s="12">
        <f t="shared" si="208"/>
        <v>277.54012342785501</v>
      </c>
      <c r="M413" s="11">
        <v>0</v>
      </c>
      <c r="N413" s="11">
        <f t="shared" si="206"/>
        <v>6.8296747792175845</v>
      </c>
      <c r="O413" s="10">
        <f t="shared" si="207"/>
        <v>8.6975908313335939</v>
      </c>
      <c r="P413" s="12">
        <f t="shared" si="188"/>
        <v>0</v>
      </c>
      <c r="Q413" s="148"/>
      <c r="R413" s="74"/>
      <c r="S413" s="47">
        <f>F413-'[1]CORREÇÃO DOS ITENS DIVERGENTES'!$P374</f>
        <v>0</v>
      </c>
      <c r="T413" s="12">
        <f t="shared" si="201"/>
        <v>272.41865275604141</v>
      </c>
      <c r="V413" s="41"/>
    </row>
    <row r="414" spans="1:22" hidden="1">
      <c r="A414" s="118">
        <v>28004000</v>
      </c>
      <c r="B414" s="89" t="s">
        <v>357</v>
      </c>
      <c r="C414" s="89" t="s">
        <v>358</v>
      </c>
      <c r="D414" s="90" t="s">
        <v>19</v>
      </c>
      <c r="E414" s="91">
        <v>13</v>
      </c>
      <c r="F414" s="11">
        <f>VLOOKUP(A414,'[1]CORREÇÃO DOS ITENS DIVERGENTES'!$A$13:$G$490,7)</f>
        <v>52.251446914767257</v>
      </c>
      <c r="G414" s="91">
        <f t="shared" si="202"/>
        <v>65.314308643459071</v>
      </c>
      <c r="H414" s="12">
        <f t="shared" si="203"/>
        <v>849.08601236496793</v>
      </c>
      <c r="I414" s="22">
        <v>13</v>
      </c>
      <c r="J414" s="11">
        <f t="shared" si="204"/>
        <v>52.251446914767257</v>
      </c>
      <c r="K414" s="10">
        <f t="shared" si="205"/>
        <v>66.5422176459561</v>
      </c>
      <c r="L414" s="12">
        <f t="shared" si="208"/>
        <v>865.04882939742924</v>
      </c>
      <c r="M414" s="11">
        <v>0</v>
      </c>
      <c r="N414" s="11">
        <f t="shared" si="206"/>
        <v>52.251446914767257</v>
      </c>
      <c r="O414" s="10">
        <f t="shared" si="207"/>
        <v>66.5422176459561</v>
      </c>
      <c r="P414" s="12">
        <f t="shared" si="188"/>
        <v>0</v>
      </c>
      <c r="Q414" s="148"/>
      <c r="R414" s="74"/>
      <c r="S414" s="47">
        <f>F414-'[1]CORREÇÃO DOS ITENS DIVERGENTES'!$P375</f>
        <v>0</v>
      </c>
      <c r="T414" s="12">
        <f t="shared" si="201"/>
        <v>849.08601236496793</v>
      </c>
      <c r="V414" s="41"/>
    </row>
    <row r="415" spans="1:22" ht="22.5" hidden="1">
      <c r="A415" s="118">
        <v>28005000</v>
      </c>
      <c r="B415" s="89" t="s">
        <v>359</v>
      </c>
      <c r="C415" s="89" t="s">
        <v>360</v>
      </c>
      <c r="D415" s="90" t="s">
        <v>19</v>
      </c>
      <c r="E415" s="91">
        <v>6</v>
      </c>
      <c r="F415" s="11">
        <f>VLOOKUP(A415,'[1]CORREÇÃO DOS ITENS DIVERGENTES'!$A$13:$G$490,7)</f>
        <v>9.5792841059155727</v>
      </c>
      <c r="G415" s="91">
        <f t="shared" si="202"/>
        <v>11.974105132394467</v>
      </c>
      <c r="H415" s="12">
        <f t="shared" si="203"/>
        <v>71.844630794366793</v>
      </c>
      <c r="I415" s="22">
        <v>0</v>
      </c>
      <c r="J415" s="11">
        <f t="shared" si="204"/>
        <v>9.5792841059155727</v>
      </c>
      <c r="K415" s="10">
        <f t="shared" si="205"/>
        <v>12.199218308883482</v>
      </c>
      <c r="L415" s="12">
        <f t="shared" si="208"/>
        <v>0</v>
      </c>
      <c r="M415" s="11">
        <f>I415-E415</f>
        <v>-6</v>
      </c>
      <c r="N415" s="11">
        <f t="shared" si="206"/>
        <v>9.5792841059155727</v>
      </c>
      <c r="O415" s="10">
        <f t="shared" si="207"/>
        <v>12.199218308883482</v>
      </c>
      <c r="P415" s="12">
        <f t="shared" si="188"/>
        <v>-73.195309853300898</v>
      </c>
      <c r="Q415" s="148"/>
      <c r="R415" s="74"/>
      <c r="S415" s="47">
        <f>F415-'[1]CORREÇÃO DOS ITENS DIVERGENTES'!$P376</f>
        <v>0</v>
      </c>
      <c r="T415" s="12">
        <f t="shared" si="201"/>
        <v>71.844630794366793</v>
      </c>
      <c r="V415" s="41"/>
    </row>
    <row r="416" spans="1:22" ht="22.5" hidden="1">
      <c r="A416" s="118">
        <v>28006000</v>
      </c>
      <c r="B416" s="89" t="s">
        <v>361</v>
      </c>
      <c r="C416" s="89" t="s">
        <v>362</v>
      </c>
      <c r="D416" s="90" t="s">
        <v>19</v>
      </c>
      <c r="E416" s="91">
        <v>3</v>
      </c>
      <c r="F416" s="11">
        <f>VLOOKUP(A416,'[1]CORREÇÃO DOS ITENS DIVERGENTES'!$A$13:$G$490,7)</f>
        <v>9.5792841059155727</v>
      </c>
      <c r="G416" s="91">
        <f t="shared" si="202"/>
        <v>11.974105132394467</v>
      </c>
      <c r="H416" s="12">
        <f t="shared" si="203"/>
        <v>35.922315397183397</v>
      </c>
      <c r="I416" s="22">
        <v>0</v>
      </c>
      <c r="J416" s="11">
        <f t="shared" si="204"/>
        <v>9.5792841059155727</v>
      </c>
      <c r="K416" s="10">
        <f t="shared" si="205"/>
        <v>12.199218308883482</v>
      </c>
      <c r="L416" s="12">
        <f t="shared" si="208"/>
        <v>0</v>
      </c>
      <c r="M416" s="11">
        <f>I416-E416</f>
        <v>-3</v>
      </c>
      <c r="N416" s="11">
        <f t="shared" si="206"/>
        <v>9.5792841059155727</v>
      </c>
      <c r="O416" s="10">
        <f t="shared" si="207"/>
        <v>12.199218308883482</v>
      </c>
      <c r="P416" s="12">
        <f t="shared" si="188"/>
        <v>-36.597654926650449</v>
      </c>
      <c r="Q416" s="148"/>
      <c r="R416" s="74"/>
      <c r="S416" s="47">
        <f>F416-'[1]CORREÇÃO DOS ITENS DIVERGENTES'!$P377</f>
        <v>0</v>
      </c>
      <c r="T416" s="12">
        <f t="shared" si="201"/>
        <v>35.922315397183397</v>
      </c>
      <c r="V416" s="41"/>
    </row>
    <row r="417" spans="1:22" ht="22.5" hidden="1">
      <c r="A417" s="118">
        <v>28007000</v>
      </c>
      <c r="B417" s="89" t="s">
        <v>363</v>
      </c>
      <c r="C417" s="89" t="s">
        <v>364</v>
      </c>
      <c r="D417" s="90" t="s">
        <v>19</v>
      </c>
      <c r="E417" s="91">
        <v>8</v>
      </c>
      <c r="F417" s="11">
        <f>VLOOKUP(A417,'[1]CORREÇÃO DOS ITENS DIVERGENTES'!$A$13:$G$490,7)</f>
        <v>15.149460419355368</v>
      </c>
      <c r="G417" s="91">
        <f t="shared" si="202"/>
        <v>18.936825524194209</v>
      </c>
      <c r="H417" s="12">
        <f t="shared" si="203"/>
        <v>151.49460419355367</v>
      </c>
      <c r="I417" s="22">
        <v>0</v>
      </c>
      <c r="J417" s="11">
        <f t="shared" si="204"/>
        <v>15.149460419355368</v>
      </c>
      <c r="K417" s="10">
        <f t="shared" si="205"/>
        <v>19.29283784404906</v>
      </c>
      <c r="L417" s="12">
        <f t="shared" si="208"/>
        <v>0</v>
      </c>
      <c r="M417" s="11">
        <f>I417-E417</f>
        <v>-8</v>
      </c>
      <c r="N417" s="11">
        <f t="shared" si="206"/>
        <v>15.149460419355368</v>
      </c>
      <c r="O417" s="10">
        <f t="shared" si="207"/>
        <v>19.29283784404906</v>
      </c>
      <c r="P417" s="12">
        <f t="shared" si="188"/>
        <v>-154.34270275239248</v>
      </c>
      <c r="Q417" s="148"/>
      <c r="R417" s="74"/>
      <c r="S417" s="47">
        <f>F417-'[1]CORREÇÃO DOS ITENS DIVERGENTES'!$P378</f>
        <v>0</v>
      </c>
      <c r="T417" s="12">
        <f t="shared" si="201"/>
        <v>151.49460419355367</v>
      </c>
      <c r="V417" s="41"/>
    </row>
    <row r="418" spans="1:22" ht="22.5" hidden="1">
      <c r="A418" s="118">
        <v>28008000</v>
      </c>
      <c r="B418" s="89" t="s">
        <v>367</v>
      </c>
      <c r="C418" s="89" t="s">
        <v>368</v>
      </c>
      <c r="D418" s="90" t="s">
        <v>19</v>
      </c>
      <c r="E418" s="91">
        <v>98</v>
      </c>
      <c r="F418" s="11">
        <f>VLOOKUP(A418,'[1]CORREÇÃO DOS ITENS DIVERGENTES'!$A$13:$G$490,7)</f>
        <v>3.858322764882661</v>
      </c>
      <c r="G418" s="91">
        <f t="shared" si="202"/>
        <v>4.8229034561033259</v>
      </c>
      <c r="H418" s="12">
        <f t="shared" si="203"/>
        <v>472.64453869812593</v>
      </c>
      <c r="I418" s="22">
        <v>10</v>
      </c>
      <c r="J418" s="11">
        <f t="shared" si="204"/>
        <v>3.858322764882661</v>
      </c>
      <c r="K418" s="10">
        <f t="shared" si="205"/>
        <v>4.9135740410780695</v>
      </c>
      <c r="L418" s="12">
        <f t="shared" si="208"/>
        <v>49.135740410780699</v>
      </c>
      <c r="M418" s="11">
        <f>I418-E418</f>
        <v>-88</v>
      </c>
      <c r="N418" s="11">
        <f t="shared" si="206"/>
        <v>3.858322764882661</v>
      </c>
      <c r="O418" s="10">
        <f t="shared" si="207"/>
        <v>4.9135740410780695</v>
      </c>
      <c r="P418" s="12">
        <f t="shared" si="188"/>
        <v>-432.3945156148701</v>
      </c>
      <c r="Q418" s="148"/>
      <c r="R418" s="74"/>
      <c r="S418" s="47">
        <f>F418-'[1]CORREÇÃO DOS ITENS DIVERGENTES'!$P379</f>
        <v>0</v>
      </c>
      <c r="T418" s="12">
        <f t="shared" si="201"/>
        <v>472.64453869812593</v>
      </c>
      <c r="V418" s="41"/>
    </row>
    <row r="419" spans="1:22" hidden="1">
      <c r="A419" s="118">
        <v>28009000</v>
      </c>
      <c r="B419" s="89" t="s">
        <v>369</v>
      </c>
      <c r="C419" s="89" t="s">
        <v>370</v>
      </c>
      <c r="D419" s="90" t="s">
        <v>19</v>
      </c>
      <c r="E419" s="91">
        <v>8</v>
      </c>
      <c r="F419" s="11">
        <f>VLOOKUP(A419,'[1]CORREÇÃO DOS ITENS DIVERGENTES'!$A$13:$G$490,7)</f>
        <v>3.086658211906129</v>
      </c>
      <c r="G419" s="91">
        <f t="shared" si="202"/>
        <v>3.8583227648826615</v>
      </c>
      <c r="H419" s="12">
        <f t="shared" si="203"/>
        <v>30.866582119061292</v>
      </c>
      <c r="I419" s="22">
        <v>8</v>
      </c>
      <c r="J419" s="11">
        <f t="shared" si="204"/>
        <v>3.086658211906129</v>
      </c>
      <c r="K419" s="10">
        <f t="shared" si="205"/>
        <v>3.9308592328624554</v>
      </c>
      <c r="L419" s="12">
        <f t="shared" si="208"/>
        <v>31.446873862899643</v>
      </c>
      <c r="M419" s="11">
        <v>0</v>
      </c>
      <c r="N419" s="11">
        <f t="shared" si="206"/>
        <v>3.086658211906129</v>
      </c>
      <c r="O419" s="10">
        <f t="shared" si="207"/>
        <v>3.9308592328624554</v>
      </c>
      <c r="P419" s="12">
        <f t="shared" si="188"/>
        <v>0</v>
      </c>
      <c r="Q419" s="148"/>
      <c r="R419" s="74"/>
      <c r="S419" s="47">
        <f>F419-'[1]CORREÇÃO DOS ITENS DIVERGENTES'!$P380</f>
        <v>0</v>
      </c>
      <c r="T419" s="12">
        <f t="shared" si="201"/>
        <v>30.866582119061292</v>
      </c>
      <c r="V419" s="41"/>
    </row>
    <row r="420" spans="1:22" hidden="1">
      <c r="A420" s="118">
        <v>28010000</v>
      </c>
      <c r="B420" s="89" t="s">
        <v>381</v>
      </c>
      <c r="C420" s="89" t="s">
        <v>382</v>
      </c>
      <c r="D420" s="90" t="s">
        <v>19</v>
      </c>
      <c r="E420" s="91">
        <v>196</v>
      </c>
      <c r="F420" s="11">
        <f>VLOOKUP(A420,'[1]CORREÇÃO DOS ITENS DIVERGENTES'!$A$13:$G$490,7)</f>
        <v>1.6675050110297478</v>
      </c>
      <c r="G420" s="91">
        <f t="shared" si="202"/>
        <v>2.0843812637871846</v>
      </c>
      <c r="H420" s="12">
        <f t="shared" si="203"/>
        <v>408.53872770228816</v>
      </c>
      <c r="I420" s="22">
        <v>6</v>
      </c>
      <c r="J420" s="11">
        <f t="shared" si="204"/>
        <v>1.6675050110297478</v>
      </c>
      <c r="K420" s="10">
        <f t="shared" si="205"/>
        <v>2.1235676315463841</v>
      </c>
      <c r="L420" s="12">
        <f t="shared" si="208"/>
        <v>12.741405789278303</v>
      </c>
      <c r="M420" s="11">
        <f>I420-E420</f>
        <v>-190</v>
      </c>
      <c r="N420" s="11">
        <f t="shared" si="206"/>
        <v>1.6675050110297478</v>
      </c>
      <c r="O420" s="10">
        <f t="shared" si="207"/>
        <v>2.1235676315463841</v>
      </c>
      <c r="P420" s="12">
        <f t="shared" si="188"/>
        <v>-403.47784999381298</v>
      </c>
      <c r="Q420" s="148"/>
      <c r="R420" s="74"/>
      <c r="S420" s="47">
        <f>F420-'[1]CORREÇÃO DOS ITENS DIVERGENTES'!$P381</f>
        <v>0</v>
      </c>
      <c r="T420" s="12">
        <f t="shared" si="201"/>
        <v>408.53872770228816</v>
      </c>
      <c r="V420" s="41"/>
    </row>
    <row r="421" spans="1:22" hidden="1">
      <c r="A421" s="118">
        <v>28011000</v>
      </c>
      <c r="B421" s="89" t="s">
        <v>383</v>
      </c>
      <c r="C421" s="89" t="s">
        <v>384</v>
      </c>
      <c r="D421" s="90" t="s">
        <v>19</v>
      </c>
      <c r="E421" s="91">
        <v>16</v>
      </c>
      <c r="F421" s="11">
        <f>VLOOKUP(A421,'[1]CORREÇÃO DOS ITENS DIVERGENTES'!$A$13:$G$490,7)</f>
        <v>2.2795148289076872</v>
      </c>
      <c r="G421" s="91">
        <f t="shared" si="202"/>
        <v>2.8493935361346088</v>
      </c>
      <c r="H421" s="12">
        <f t="shared" si="203"/>
        <v>45.59029657815374</v>
      </c>
      <c r="I421" s="22">
        <v>16</v>
      </c>
      <c r="J421" s="11">
        <f t="shared" si="204"/>
        <v>2.2795148289076872</v>
      </c>
      <c r="K421" s="10">
        <f t="shared" si="205"/>
        <v>2.90296213461394</v>
      </c>
      <c r="L421" s="12">
        <f t="shared" si="208"/>
        <v>46.447394153823041</v>
      </c>
      <c r="M421" s="11">
        <v>0</v>
      </c>
      <c r="N421" s="11">
        <f t="shared" si="206"/>
        <v>2.2795148289076872</v>
      </c>
      <c r="O421" s="10">
        <f t="shared" si="207"/>
        <v>2.90296213461394</v>
      </c>
      <c r="P421" s="12">
        <f t="shared" si="188"/>
        <v>0</v>
      </c>
      <c r="Q421" s="148"/>
      <c r="R421" s="74"/>
      <c r="S421" s="47">
        <f>F421-'[1]CORREÇÃO DOS ITENS DIVERGENTES'!$P382</f>
        <v>0</v>
      </c>
      <c r="T421" s="12">
        <f t="shared" si="201"/>
        <v>45.59029657815374</v>
      </c>
      <c r="V421" s="41"/>
    </row>
    <row r="422" spans="1:22" ht="22.5" hidden="1">
      <c r="A422" s="118">
        <v>28012000</v>
      </c>
      <c r="B422" s="89" t="s">
        <v>391</v>
      </c>
      <c r="C422" s="89" t="s">
        <v>392</v>
      </c>
      <c r="D422" s="90" t="s">
        <v>19</v>
      </c>
      <c r="E422" s="91">
        <v>1</v>
      </c>
      <c r="F422" s="11">
        <f>VLOOKUP(A422,'[1]CORREÇÃO DOS ITENS DIVERGENTES'!$A$13:$G$490,7)</f>
        <v>5.5524368984288408</v>
      </c>
      <c r="G422" s="91">
        <f t="shared" si="202"/>
        <v>6.940546123036051</v>
      </c>
      <c r="H422" s="12">
        <f t="shared" si="203"/>
        <v>6.940546123036051</v>
      </c>
      <c r="I422" s="22">
        <v>1</v>
      </c>
      <c r="J422" s="11">
        <f t="shared" si="204"/>
        <v>5.5524368984288408</v>
      </c>
      <c r="K422" s="10">
        <f t="shared" si="205"/>
        <v>7.0710283901491291</v>
      </c>
      <c r="L422" s="12">
        <f t="shared" si="208"/>
        <v>7.0710283901491291</v>
      </c>
      <c r="M422" s="11">
        <v>0</v>
      </c>
      <c r="N422" s="11">
        <f t="shared" si="206"/>
        <v>5.5524368984288408</v>
      </c>
      <c r="O422" s="10">
        <f t="shared" si="207"/>
        <v>7.0710283901491291</v>
      </c>
      <c r="P422" s="12">
        <f t="shared" si="188"/>
        <v>0</v>
      </c>
      <c r="Q422" s="148"/>
      <c r="R422" s="74"/>
      <c r="S422" s="47">
        <f>F422-'[1]CORREÇÃO DOS ITENS DIVERGENTES'!$P383</f>
        <v>0</v>
      </c>
      <c r="T422" s="12">
        <f t="shared" si="201"/>
        <v>6.940546123036051</v>
      </c>
      <c r="V422" s="41"/>
    </row>
    <row r="423" spans="1:22" hidden="1">
      <c r="A423" s="118">
        <v>28013000</v>
      </c>
      <c r="B423" s="89" t="s">
        <v>529</v>
      </c>
      <c r="C423" s="89" t="s">
        <v>530</v>
      </c>
      <c r="D423" s="90" t="s">
        <v>19</v>
      </c>
      <c r="E423" s="91">
        <v>21</v>
      </c>
      <c r="F423" s="11">
        <f>VLOOKUP(A423,'[1]CORREÇÃO DOS ITENS DIVERGENTES'!$A$13:$G$490,7)</f>
        <v>3.2995311920375863</v>
      </c>
      <c r="G423" s="91">
        <f t="shared" si="202"/>
        <v>4.1244139900469827</v>
      </c>
      <c r="H423" s="12">
        <f t="shared" si="203"/>
        <v>86.61269379098664</v>
      </c>
      <c r="I423" s="22">
        <v>0</v>
      </c>
      <c r="J423" s="11">
        <f t="shared" si="204"/>
        <v>3.2995311920375863</v>
      </c>
      <c r="K423" s="10">
        <f t="shared" si="205"/>
        <v>4.2019529730598659</v>
      </c>
      <c r="L423" s="12">
        <f t="shared" si="208"/>
        <v>0</v>
      </c>
      <c r="M423" s="11">
        <f>I423-E423</f>
        <v>-21</v>
      </c>
      <c r="N423" s="11">
        <f t="shared" si="206"/>
        <v>3.2995311920375863</v>
      </c>
      <c r="O423" s="10">
        <f t="shared" si="207"/>
        <v>4.2019529730598659</v>
      </c>
      <c r="P423" s="12">
        <f t="shared" si="188"/>
        <v>-88.241012434257186</v>
      </c>
      <c r="Q423" s="148"/>
      <c r="R423" s="74"/>
      <c r="S423" s="47">
        <f>F423-'[1]CORREÇÃO DOS ITENS DIVERGENTES'!$P384</f>
        <v>0</v>
      </c>
      <c r="T423" s="12">
        <f t="shared" si="201"/>
        <v>86.61269379098664</v>
      </c>
      <c r="V423" s="41"/>
    </row>
    <row r="424" spans="1:22" hidden="1">
      <c r="A424" s="118">
        <v>28014000</v>
      </c>
      <c r="B424" s="89" t="s">
        <v>531</v>
      </c>
      <c r="C424" s="89" t="s">
        <v>532</v>
      </c>
      <c r="D424" s="90" t="s">
        <v>102</v>
      </c>
      <c r="E424" s="91">
        <v>84.1</v>
      </c>
      <c r="F424" s="11">
        <f>VLOOKUP(A424,'[1]CORREÇÃO DOS ITENS DIVERGENTES'!$A$13:$G$490,7)</f>
        <v>24.356216810040891</v>
      </c>
      <c r="G424" s="91">
        <f t="shared" si="202"/>
        <v>30.445271012551114</v>
      </c>
      <c r="H424" s="12">
        <f t="shared" si="203"/>
        <v>2560.4472921555484</v>
      </c>
      <c r="I424" s="22">
        <f>84.1+M424</f>
        <v>600</v>
      </c>
      <c r="J424" s="11">
        <f t="shared" si="204"/>
        <v>24.356216810040891</v>
      </c>
      <c r="K424" s="10">
        <f t="shared" si="205"/>
        <v>31.017642107587076</v>
      </c>
      <c r="L424" s="12">
        <f t="shared" si="208"/>
        <v>18610.585264552246</v>
      </c>
      <c r="M424" s="11">
        <f>600-84.1</f>
        <v>515.9</v>
      </c>
      <c r="N424" s="11">
        <f t="shared" si="206"/>
        <v>24.356216810040891</v>
      </c>
      <c r="O424" s="10">
        <f t="shared" si="207"/>
        <v>31.017642107587076</v>
      </c>
      <c r="P424" s="12">
        <f t="shared" si="188"/>
        <v>16002.001563304171</v>
      </c>
      <c r="Q424" s="148"/>
      <c r="R424" s="74"/>
      <c r="S424" s="47">
        <f>F424-'[1]CORREÇÃO DOS ITENS DIVERGENTES'!$P385</f>
        <v>0</v>
      </c>
      <c r="T424" s="12">
        <f t="shared" si="201"/>
        <v>2560.4472921555484</v>
      </c>
      <c r="V424" s="41"/>
    </row>
    <row r="425" spans="1:22" hidden="1">
      <c r="A425" s="118">
        <v>28015000</v>
      </c>
      <c r="B425" s="89" t="s">
        <v>533</v>
      </c>
      <c r="C425" s="89" t="s">
        <v>534</v>
      </c>
      <c r="D425" s="90" t="s">
        <v>19</v>
      </c>
      <c r="E425" s="91">
        <v>72</v>
      </c>
      <c r="F425" s="11">
        <f>VLOOKUP(A425,'[1]CORREÇÃO DOS ITENS DIVERGENTES'!$A$13:$G$490,7)</f>
        <v>1.8005506236119084</v>
      </c>
      <c r="G425" s="91">
        <f t="shared" si="202"/>
        <v>2.2506882795148857</v>
      </c>
      <c r="H425" s="12">
        <f t="shared" si="203"/>
        <v>162.04955612507177</v>
      </c>
      <c r="I425" s="22">
        <f>72+M425</f>
        <v>300</v>
      </c>
      <c r="J425" s="11">
        <f t="shared" si="204"/>
        <v>1.8005506236119084</v>
      </c>
      <c r="K425" s="10">
        <f t="shared" si="205"/>
        <v>2.2930012191697657</v>
      </c>
      <c r="L425" s="12">
        <f t="shared" si="208"/>
        <v>687.90036575092972</v>
      </c>
      <c r="M425" s="11">
        <f>300-72</f>
        <v>228</v>
      </c>
      <c r="N425" s="11">
        <f t="shared" si="206"/>
        <v>1.8005506236119084</v>
      </c>
      <c r="O425" s="10">
        <f t="shared" si="207"/>
        <v>2.2930012191697657</v>
      </c>
      <c r="P425" s="12">
        <f t="shared" si="188"/>
        <v>522.80427797070661</v>
      </c>
      <c r="Q425" s="148"/>
      <c r="R425" s="74"/>
      <c r="S425" s="47">
        <f>F425-'[1]CORREÇÃO DOS ITENS DIVERGENTES'!$P386</f>
        <v>0</v>
      </c>
      <c r="T425" s="12">
        <f t="shared" si="201"/>
        <v>162.04955612507177</v>
      </c>
      <c r="V425" s="41"/>
    </row>
    <row r="426" spans="1:22" hidden="1">
      <c r="A426" s="118">
        <v>28016000</v>
      </c>
      <c r="B426" s="89" t="s">
        <v>535</v>
      </c>
      <c r="C426" s="100" t="s">
        <v>536</v>
      </c>
      <c r="D426" s="90" t="s">
        <v>102</v>
      </c>
      <c r="E426" s="91">
        <v>1809.46</v>
      </c>
      <c r="F426" s="11">
        <f>VLOOKUP(A426,'[1]CORREÇÃO DOS ITENS DIVERGENTES'!$A$13:$G$490,7)</f>
        <v>1.8626385761502504</v>
      </c>
      <c r="G426" s="91">
        <f t="shared" si="202"/>
        <v>2.3282982201878131</v>
      </c>
      <c r="H426" s="12">
        <f t="shared" si="203"/>
        <v>4212.9624975010402</v>
      </c>
      <c r="I426" s="22">
        <v>1809.46</v>
      </c>
      <c r="J426" s="11">
        <f t="shared" si="204"/>
        <v>1.8626385761502504</v>
      </c>
      <c r="K426" s="10">
        <f t="shared" si="205"/>
        <v>2.3720702267273439</v>
      </c>
      <c r="L426" s="12">
        <f t="shared" si="208"/>
        <v>4292.1661924540595</v>
      </c>
      <c r="M426" s="11">
        <v>0</v>
      </c>
      <c r="N426" s="11">
        <f t="shared" si="206"/>
        <v>1.8626385761502504</v>
      </c>
      <c r="O426" s="10">
        <f t="shared" si="207"/>
        <v>2.3720702267273439</v>
      </c>
      <c r="P426" s="12">
        <f t="shared" si="188"/>
        <v>0</v>
      </c>
      <c r="Q426" s="148"/>
      <c r="R426" s="74"/>
      <c r="S426" s="47">
        <f>F426-'[1]CORREÇÃO DOS ITENS DIVERGENTES'!$P387</f>
        <v>0</v>
      </c>
      <c r="T426" s="12">
        <f t="shared" si="201"/>
        <v>4212.9624975010402</v>
      </c>
      <c r="V426" s="41"/>
    </row>
    <row r="427" spans="1:22" hidden="1">
      <c r="A427" s="118">
        <v>28017000</v>
      </c>
      <c r="B427" s="89" t="s">
        <v>537</v>
      </c>
      <c r="C427" s="89" t="s">
        <v>538</v>
      </c>
      <c r="D427" s="90" t="s">
        <v>102</v>
      </c>
      <c r="E427" s="91">
        <v>6</v>
      </c>
      <c r="F427" s="11">
        <f>VLOOKUP(A427,'[1]CORREÇÃO DOS ITENS DIVERGENTES'!$A$13:$G$490,7)</f>
        <v>11.708013907230145</v>
      </c>
      <c r="G427" s="91">
        <f t="shared" si="202"/>
        <v>14.635017384037681</v>
      </c>
      <c r="H427" s="12">
        <f t="shared" si="203"/>
        <v>87.810104304226087</v>
      </c>
      <c r="I427" s="22">
        <v>6</v>
      </c>
      <c r="J427" s="11">
        <f t="shared" si="204"/>
        <v>11.708013907230145</v>
      </c>
      <c r="K427" s="10">
        <f t="shared" si="205"/>
        <v>14.910155710857589</v>
      </c>
      <c r="L427" s="12">
        <f t="shared" si="208"/>
        <v>89.460934265145539</v>
      </c>
      <c r="M427" s="11">
        <v>0</v>
      </c>
      <c r="N427" s="11">
        <f t="shared" si="206"/>
        <v>11.708013907230145</v>
      </c>
      <c r="O427" s="10">
        <f t="shared" si="207"/>
        <v>14.910155710857589</v>
      </c>
      <c r="P427" s="12">
        <f t="shared" si="188"/>
        <v>0</v>
      </c>
      <c r="Q427" s="148"/>
      <c r="R427" s="74"/>
      <c r="S427" s="47">
        <f>F427-'[1]CORREÇÃO DOS ITENS DIVERGENTES'!$P388</f>
        <v>0</v>
      </c>
      <c r="T427" s="12">
        <f t="shared" si="201"/>
        <v>87.810104304226087</v>
      </c>
      <c r="V427" s="41"/>
    </row>
    <row r="428" spans="1:22" hidden="1">
      <c r="A428" s="118">
        <v>28018000</v>
      </c>
      <c r="B428" s="89" t="s">
        <v>539</v>
      </c>
      <c r="C428" s="89" t="s">
        <v>540</v>
      </c>
      <c r="D428" s="90" t="s">
        <v>19</v>
      </c>
      <c r="E428" s="91">
        <v>148</v>
      </c>
      <c r="F428" s="11">
        <f>VLOOKUP(A428,'[1]CORREÇÃO DOS ITENS DIVERGENTES'!$A$13:$G$490,7)</f>
        <v>9.9340724061346677</v>
      </c>
      <c r="G428" s="91">
        <f t="shared" si="202"/>
        <v>12.417590507668335</v>
      </c>
      <c r="H428" s="12">
        <f t="shared" si="203"/>
        <v>1837.8033951349134</v>
      </c>
      <c r="I428" s="22">
        <v>148</v>
      </c>
      <c r="J428" s="11">
        <f t="shared" si="204"/>
        <v>9.9340724061346677</v>
      </c>
      <c r="K428" s="10">
        <f t="shared" si="205"/>
        <v>12.651041209212501</v>
      </c>
      <c r="L428" s="12">
        <f t="shared" si="208"/>
        <v>1872.35409896345</v>
      </c>
      <c r="M428" s="11">
        <v>0</v>
      </c>
      <c r="N428" s="11">
        <f t="shared" si="206"/>
        <v>9.9340724061346677</v>
      </c>
      <c r="O428" s="10">
        <f t="shared" si="207"/>
        <v>12.651041209212501</v>
      </c>
      <c r="P428" s="12">
        <f t="shared" si="188"/>
        <v>0</v>
      </c>
      <c r="Q428" s="148"/>
      <c r="R428" s="74"/>
      <c r="S428" s="47">
        <f>F428-'[1]CORREÇÃO DOS ITENS DIVERGENTES'!$P389</f>
        <v>0</v>
      </c>
      <c r="T428" s="12">
        <f t="shared" si="201"/>
        <v>1837.8033951349134</v>
      </c>
      <c r="V428" s="41"/>
    </row>
    <row r="429" spans="1:22" hidden="1">
      <c r="A429" s="118">
        <v>28019000</v>
      </c>
      <c r="B429" s="89" t="s">
        <v>541</v>
      </c>
      <c r="C429" s="89" t="s">
        <v>542</v>
      </c>
      <c r="D429" s="90" t="s">
        <v>19</v>
      </c>
      <c r="E429" s="91">
        <v>4</v>
      </c>
      <c r="F429" s="11">
        <f>VLOOKUP(A429,'[1]CORREÇÃO DOS ITENS DIVERGENTES'!$A$13:$G$490,7)</f>
        <v>14.280229083818586</v>
      </c>
      <c r="G429" s="91">
        <f t="shared" si="202"/>
        <v>17.850286354773232</v>
      </c>
      <c r="H429" s="12">
        <f t="shared" si="203"/>
        <v>71.401145419092927</v>
      </c>
      <c r="I429" s="22">
        <v>4</v>
      </c>
      <c r="J429" s="11">
        <f t="shared" si="204"/>
        <v>14.280229083818586</v>
      </c>
      <c r="K429" s="10">
        <f t="shared" si="205"/>
        <v>18.18587173824297</v>
      </c>
      <c r="L429" s="12">
        <f t="shared" si="208"/>
        <v>72.743486952971878</v>
      </c>
      <c r="M429" s="11">
        <v>0</v>
      </c>
      <c r="N429" s="11">
        <f t="shared" si="206"/>
        <v>14.280229083818586</v>
      </c>
      <c r="O429" s="10">
        <f t="shared" si="207"/>
        <v>18.18587173824297</v>
      </c>
      <c r="P429" s="12">
        <f t="shared" si="188"/>
        <v>0</v>
      </c>
      <c r="Q429" s="148"/>
      <c r="R429" s="74"/>
      <c r="S429" s="47">
        <f>F429-'[1]CORREÇÃO DOS ITENS DIVERGENTES'!$P390</f>
        <v>0</v>
      </c>
      <c r="T429" s="12">
        <f t="shared" si="201"/>
        <v>71.401145419092927</v>
      </c>
      <c r="V429" s="41"/>
    </row>
    <row r="430" spans="1:22" ht="22.5" hidden="1">
      <c r="A430" s="118">
        <v>28020000</v>
      </c>
      <c r="B430" s="89" t="s">
        <v>543</v>
      </c>
      <c r="C430" s="89" t="s">
        <v>544</v>
      </c>
      <c r="D430" s="90" t="s">
        <v>19</v>
      </c>
      <c r="E430" s="91">
        <v>35</v>
      </c>
      <c r="F430" s="11">
        <f>VLOOKUP(A430,'[1]CORREÇÃO DOS ITENS DIVERGENTES'!$A$13:$G$490,7)</f>
        <v>8.781010430422608</v>
      </c>
      <c r="G430" s="91">
        <f t="shared" si="202"/>
        <v>10.976263038028261</v>
      </c>
      <c r="H430" s="12">
        <f t="shared" si="203"/>
        <v>384.16920633098914</v>
      </c>
      <c r="I430" s="22">
        <v>35</v>
      </c>
      <c r="J430" s="11">
        <f t="shared" si="204"/>
        <v>8.781010430422608</v>
      </c>
      <c r="K430" s="10">
        <f t="shared" si="205"/>
        <v>11.182616783143192</v>
      </c>
      <c r="L430" s="12">
        <f t="shared" si="208"/>
        <v>391.39158741001171</v>
      </c>
      <c r="M430" s="11">
        <v>0</v>
      </c>
      <c r="N430" s="11">
        <f t="shared" si="206"/>
        <v>8.781010430422608</v>
      </c>
      <c r="O430" s="10">
        <f t="shared" si="207"/>
        <v>11.182616783143192</v>
      </c>
      <c r="P430" s="12">
        <f t="shared" si="188"/>
        <v>0</v>
      </c>
      <c r="Q430" s="148"/>
      <c r="R430" s="74"/>
      <c r="S430" s="47">
        <f>F430-'[1]CORREÇÃO DOS ITENS DIVERGENTES'!$P391</f>
        <v>0</v>
      </c>
      <c r="T430" s="12">
        <f t="shared" si="201"/>
        <v>384.16920633098914</v>
      </c>
      <c r="V430" s="41"/>
    </row>
    <row r="431" spans="1:22" ht="22.5" hidden="1">
      <c r="A431" s="118">
        <v>28021000</v>
      </c>
      <c r="B431" s="89" t="s">
        <v>545</v>
      </c>
      <c r="C431" s="89" t="s">
        <v>546</v>
      </c>
      <c r="D431" s="90" t="s">
        <v>19</v>
      </c>
      <c r="E431" s="91">
        <v>6</v>
      </c>
      <c r="F431" s="11">
        <f>VLOOKUP(A431,'[1]CORREÇÃO DOS ITENS DIVERGENTES'!$A$13:$G$490,7)</f>
        <v>8.781010430422608</v>
      </c>
      <c r="G431" s="91">
        <f t="shared" si="202"/>
        <v>10.976263038028261</v>
      </c>
      <c r="H431" s="12">
        <f t="shared" si="203"/>
        <v>65.857578228169558</v>
      </c>
      <c r="I431" s="22">
        <v>6</v>
      </c>
      <c r="J431" s="11">
        <f t="shared" si="204"/>
        <v>8.781010430422608</v>
      </c>
      <c r="K431" s="10">
        <f t="shared" si="205"/>
        <v>11.182616783143192</v>
      </c>
      <c r="L431" s="12">
        <f t="shared" si="208"/>
        <v>67.095700698859162</v>
      </c>
      <c r="M431" s="11">
        <v>0</v>
      </c>
      <c r="N431" s="11">
        <f t="shared" si="206"/>
        <v>8.781010430422608</v>
      </c>
      <c r="O431" s="10">
        <f t="shared" si="207"/>
        <v>11.182616783143192</v>
      </c>
      <c r="P431" s="12">
        <f t="shared" si="188"/>
        <v>0</v>
      </c>
      <c r="Q431" s="148"/>
      <c r="R431" s="74"/>
      <c r="S431" s="47">
        <f>F431-'[1]CORREÇÃO DOS ITENS DIVERGENTES'!$P392</f>
        <v>0</v>
      </c>
      <c r="T431" s="12">
        <f t="shared" si="201"/>
        <v>65.857578228169558</v>
      </c>
      <c r="V431" s="41"/>
    </row>
    <row r="432" spans="1:22" ht="22.5" hidden="1">
      <c r="A432" s="118">
        <v>28022000</v>
      </c>
      <c r="B432" s="89" t="s">
        <v>547</v>
      </c>
      <c r="C432" s="89" t="s">
        <v>548</v>
      </c>
      <c r="D432" s="90" t="s">
        <v>19</v>
      </c>
      <c r="E432" s="91">
        <v>2</v>
      </c>
      <c r="F432" s="11">
        <f>VLOOKUP(A432,'[1]CORREÇÃO DOS ITENS DIVERGENTES'!$A$13:$G$490,7)</f>
        <v>439.05052152113041</v>
      </c>
      <c r="G432" s="91">
        <f t="shared" si="202"/>
        <v>548.81315190141299</v>
      </c>
      <c r="H432" s="12">
        <f t="shared" si="203"/>
        <v>1097.626303802826</v>
      </c>
      <c r="I432" s="22">
        <v>2</v>
      </c>
      <c r="J432" s="11">
        <f t="shared" si="204"/>
        <v>439.05052152113041</v>
      </c>
      <c r="K432" s="10">
        <f t="shared" si="205"/>
        <v>559.13083915715958</v>
      </c>
      <c r="L432" s="12">
        <f t="shared" si="208"/>
        <v>1118.2616783143192</v>
      </c>
      <c r="M432" s="11">
        <v>0</v>
      </c>
      <c r="N432" s="11">
        <f t="shared" si="206"/>
        <v>439.05052152113041</v>
      </c>
      <c r="O432" s="10">
        <f t="shared" si="207"/>
        <v>559.13083915715958</v>
      </c>
      <c r="P432" s="12">
        <f t="shared" si="188"/>
        <v>0</v>
      </c>
      <c r="Q432" s="148"/>
      <c r="R432" s="74"/>
      <c r="S432" s="47">
        <f>F432-'[1]CORREÇÃO DOS ITENS DIVERGENTES'!$P393</f>
        <v>0</v>
      </c>
      <c r="T432" s="12">
        <f t="shared" si="201"/>
        <v>1097.626303802826</v>
      </c>
      <c r="V432" s="41"/>
    </row>
    <row r="433" spans="1:22" ht="22.5" hidden="1">
      <c r="A433" s="118">
        <v>28023000</v>
      </c>
      <c r="B433" s="89" t="s">
        <v>549</v>
      </c>
      <c r="C433" s="89" t="s">
        <v>550</v>
      </c>
      <c r="D433" s="90" t="s">
        <v>19</v>
      </c>
      <c r="E433" s="91">
        <v>2</v>
      </c>
      <c r="F433" s="11">
        <f>VLOOKUP(A433,'[1]CORREÇÃO DOS ITENS DIVERGENTES'!$A$13:$G$490,7)</f>
        <v>434.61566776839175</v>
      </c>
      <c r="G433" s="91">
        <f t="shared" si="202"/>
        <v>543.26958471048965</v>
      </c>
      <c r="H433" s="12">
        <f t="shared" si="203"/>
        <v>1086.5391694209793</v>
      </c>
      <c r="I433" s="22">
        <v>2</v>
      </c>
      <c r="J433" s="11">
        <f t="shared" si="204"/>
        <v>434.61566776839175</v>
      </c>
      <c r="K433" s="10">
        <f t="shared" si="205"/>
        <v>553.48305290304688</v>
      </c>
      <c r="L433" s="12">
        <f t="shared" si="208"/>
        <v>1106.9661058060938</v>
      </c>
      <c r="M433" s="11">
        <f>I433-E433</f>
        <v>0</v>
      </c>
      <c r="N433" s="11">
        <f t="shared" si="206"/>
        <v>434.61566776839175</v>
      </c>
      <c r="O433" s="10">
        <f t="shared" si="207"/>
        <v>553.48305290304688</v>
      </c>
      <c r="P433" s="12">
        <f t="shared" si="188"/>
        <v>0</v>
      </c>
      <c r="Q433" s="148"/>
      <c r="R433" s="74"/>
      <c r="S433" s="47">
        <f>F433-'[1]CORREÇÃO DOS ITENS DIVERGENTES'!$P394</f>
        <v>0</v>
      </c>
      <c r="T433" s="12">
        <f t="shared" si="201"/>
        <v>1086.5391694209793</v>
      </c>
      <c r="V433" s="41"/>
    </row>
    <row r="434" spans="1:22" ht="22.5" hidden="1">
      <c r="A434" s="118">
        <v>28024000</v>
      </c>
      <c r="B434" s="89" t="s">
        <v>551</v>
      </c>
      <c r="C434" s="89" t="s">
        <v>552</v>
      </c>
      <c r="D434" s="90" t="s">
        <v>19</v>
      </c>
      <c r="E434" s="91">
        <v>2</v>
      </c>
      <c r="F434" s="11">
        <f>VLOOKUP(A434,'[1]CORREÇÃO DOS ITENS DIVERGENTES'!$A$13:$G$490,7)</f>
        <v>390.26713024100479</v>
      </c>
      <c r="G434" s="91">
        <f t="shared" si="202"/>
        <v>487.83391280125602</v>
      </c>
      <c r="H434" s="12">
        <f t="shared" si="203"/>
        <v>975.66782560251204</v>
      </c>
      <c r="I434" s="22">
        <v>2</v>
      </c>
      <c r="J434" s="11">
        <f t="shared" si="204"/>
        <v>390.26713024100479</v>
      </c>
      <c r="K434" s="10">
        <f t="shared" si="205"/>
        <v>497.00519036191963</v>
      </c>
      <c r="L434" s="12">
        <f t="shared" si="208"/>
        <v>994.01038072383926</v>
      </c>
      <c r="M434" s="11">
        <v>0</v>
      </c>
      <c r="N434" s="11">
        <f t="shared" si="206"/>
        <v>390.26713024100479</v>
      </c>
      <c r="O434" s="10">
        <f t="shared" si="207"/>
        <v>497.00519036191963</v>
      </c>
      <c r="P434" s="12">
        <f t="shared" si="188"/>
        <v>0</v>
      </c>
      <c r="Q434" s="148"/>
      <c r="R434" s="74"/>
      <c r="S434" s="47">
        <f>F434-'[1]CORREÇÃO DOS ITENS DIVERGENTES'!$P395</f>
        <v>0</v>
      </c>
      <c r="T434" s="12">
        <f t="shared" si="201"/>
        <v>975.66782560251204</v>
      </c>
      <c r="V434" s="41"/>
    </row>
    <row r="435" spans="1:22" ht="22.5" hidden="1">
      <c r="A435" s="118">
        <v>28025000</v>
      </c>
      <c r="B435" s="89" t="s">
        <v>553</v>
      </c>
      <c r="C435" s="89" t="s">
        <v>554</v>
      </c>
      <c r="D435" s="90" t="s">
        <v>19</v>
      </c>
      <c r="E435" s="91">
        <v>2</v>
      </c>
      <c r="F435" s="11">
        <f>VLOOKUP(A435,'[1]CORREÇÃO DOS ITENS DIVERGENTES'!$A$13:$G$490,7)</f>
        <v>80.714338299844172</v>
      </c>
      <c r="G435" s="91">
        <f t="shared" si="202"/>
        <v>100.89292287480521</v>
      </c>
      <c r="H435" s="12">
        <f t="shared" si="203"/>
        <v>201.78584574961042</v>
      </c>
      <c r="I435" s="22">
        <v>2</v>
      </c>
      <c r="J435" s="11">
        <f t="shared" si="204"/>
        <v>80.714338299844172</v>
      </c>
      <c r="K435" s="10">
        <f t="shared" si="205"/>
        <v>102.78970982485156</v>
      </c>
      <c r="L435" s="12">
        <f t="shared" si="208"/>
        <v>205.57941964970311</v>
      </c>
      <c r="M435" s="11">
        <v>0</v>
      </c>
      <c r="N435" s="11">
        <f t="shared" si="206"/>
        <v>80.714338299844172</v>
      </c>
      <c r="O435" s="10">
        <f t="shared" si="207"/>
        <v>102.78970982485156</v>
      </c>
      <c r="P435" s="12">
        <f t="shared" ref="P435:P521" si="209">M435*O435</f>
        <v>0</v>
      </c>
      <c r="Q435" s="148"/>
      <c r="R435" s="74"/>
      <c r="S435" s="47">
        <f>F435-'[1]CORREÇÃO DOS ITENS DIVERGENTES'!$P396</f>
        <v>0</v>
      </c>
      <c r="T435" s="12">
        <f t="shared" si="201"/>
        <v>201.78584574961042</v>
      </c>
      <c r="V435" s="41"/>
    </row>
    <row r="436" spans="1:22" ht="22.5" hidden="1">
      <c r="A436" s="118">
        <v>28026000</v>
      </c>
      <c r="B436" s="89" t="s">
        <v>555</v>
      </c>
      <c r="C436" s="89" t="s">
        <v>556</v>
      </c>
      <c r="D436" s="90" t="s">
        <v>19</v>
      </c>
      <c r="E436" s="91">
        <v>4</v>
      </c>
      <c r="F436" s="11">
        <f>VLOOKUP(A436,'[1]CORREÇÃO DOS ITENS DIVERGENTES'!$A$13:$G$490,7)</f>
        <v>130.38470033051752</v>
      </c>
      <c r="G436" s="91">
        <f t="shared" si="202"/>
        <v>162.98087541314689</v>
      </c>
      <c r="H436" s="12">
        <f t="shared" si="203"/>
        <v>651.92350165258756</v>
      </c>
      <c r="I436" s="22">
        <v>4</v>
      </c>
      <c r="J436" s="11">
        <f t="shared" si="204"/>
        <v>130.38470033051752</v>
      </c>
      <c r="K436" s="10">
        <f t="shared" si="205"/>
        <v>166.04491587091408</v>
      </c>
      <c r="L436" s="12">
        <f t="shared" si="208"/>
        <v>664.17966348365633</v>
      </c>
      <c r="M436" s="11">
        <v>0</v>
      </c>
      <c r="N436" s="11">
        <f t="shared" si="206"/>
        <v>130.38470033051752</v>
      </c>
      <c r="O436" s="10">
        <f t="shared" si="207"/>
        <v>166.04491587091408</v>
      </c>
      <c r="P436" s="12">
        <f t="shared" si="209"/>
        <v>0</v>
      </c>
      <c r="Q436" s="148"/>
      <c r="R436" s="74"/>
      <c r="S436" s="47">
        <f>F436-'[1]CORREÇÃO DOS ITENS DIVERGENTES'!$P397</f>
        <v>0</v>
      </c>
      <c r="T436" s="12">
        <f t="shared" si="201"/>
        <v>651.92350165258756</v>
      </c>
      <c r="V436" s="41"/>
    </row>
    <row r="437" spans="1:22" ht="22.5" hidden="1">
      <c r="A437" s="118">
        <v>28027000</v>
      </c>
      <c r="B437" s="89" t="s">
        <v>557</v>
      </c>
      <c r="C437" s="89" t="s">
        <v>558</v>
      </c>
      <c r="D437" s="90" t="s">
        <v>19</v>
      </c>
      <c r="E437" s="91">
        <v>2</v>
      </c>
      <c r="F437" s="11">
        <f>VLOOKUP(A437,'[1]CORREÇÃO DOS ITENS DIVERGENTES'!$A$13:$G$490,7)</f>
        <v>54.105215783412028</v>
      </c>
      <c r="G437" s="91">
        <f t="shared" si="202"/>
        <v>67.631519729265037</v>
      </c>
      <c r="H437" s="12">
        <f t="shared" si="203"/>
        <v>135.26303945853007</v>
      </c>
      <c r="I437" s="22">
        <v>2</v>
      </c>
      <c r="J437" s="11">
        <f t="shared" si="204"/>
        <v>54.105215783412028</v>
      </c>
      <c r="K437" s="10">
        <f t="shared" si="205"/>
        <v>68.902992300175228</v>
      </c>
      <c r="L437" s="12">
        <f t="shared" si="208"/>
        <v>137.80598460035046</v>
      </c>
      <c r="M437" s="11">
        <v>0</v>
      </c>
      <c r="N437" s="11">
        <f t="shared" si="206"/>
        <v>54.105215783412028</v>
      </c>
      <c r="O437" s="10">
        <f t="shared" si="207"/>
        <v>68.902992300175228</v>
      </c>
      <c r="P437" s="12">
        <f t="shared" si="209"/>
        <v>0</v>
      </c>
      <c r="Q437" s="148"/>
      <c r="R437" s="74"/>
      <c r="S437" s="47">
        <f>F437-'[1]CORREÇÃO DOS ITENS DIVERGENTES'!$P398</f>
        <v>0</v>
      </c>
      <c r="T437" s="12">
        <f t="shared" si="201"/>
        <v>135.26303945853007</v>
      </c>
      <c r="V437" s="41"/>
    </row>
    <row r="438" spans="1:22" ht="22.5" hidden="1">
      <c r="A438" s="118">
        <v>28028000</v>
      </c>
      <c r="B438" s="89" t="s">
        <v>559</v>
      </c>
      <c r="C438" s="89" t="s">
        <v>560</v>
      </c>
      <c r="D438" s="90" t="s">
        <v>102</v>
      </c>
      <c r="E438" s="91">
        <v>2</v>
      </c>
      <c r="F438" s="11">
        <f>VLOOKUP(A438,'[1]CORREÇÃO DOS ITENS DIVERGENTES'!$A$13:$G$490,7)</f>
        <v>70.070689293271315</v>
      </c>
      <c r="G438" s="91">
        <f t="shared" si="202"/>
        <v>87.58836161658914</v>
      </c>
      <c r="H438" s="12">
        <f t="shared" si="203"/>
        <v>175.17672323317828</v>
      </c>
      <c r="I438" s="22">
        <v>2</v>
      </c>
      <c r="J438" s="11">
        <f t="shared" si="204"/>
        <v>70.070689293271315</v>
      </c>
      <c r="K438" s="10">
        <f t="shared" si="205"/>
        <v>89.235022814981022</v>
      </c>
      <c r="L438" s="12">
        <f t="shared" si="208"/>
        <v>178.47004562996204</v>
      </c>
      <c r="M438" s="11">
        <v>0</v>
      </c>
      <c r="N438" s="11">
        <f t="shared" si="206"/>
        <v>70.070689293271315</v>
      </c>
      <c r="O438" s="10">
        <f t="shared" si="207"/>
        <v>89.235022814981022</v>
      </c>
      <c r="P438" s="12">
        <f t="shared" si="209"/>
        <v>0</v>
      </c>
      <c r="Q438" s="148"/>
      <c r="R438" s="74"/>
      <c r="S438" s="47">
        <f>F438-'[1]CORREÇÃO DOS ITENS DIVERGENTES'!$P399</f>
        <v>0</v>
      </c>
      <c r="T438" s="12">
        <f t="shared" si="201"/>
        <v>175.17672323317828</v>
      </c>
      <c r="V438" s="41"/>
    </row>
    <row r="439" spans="1:22" hidden="1">
      <c r="A439" s="118">
        <v>28029000</v>
      </c>
      <c r="B439" s="89" t="s">
        <v>561</v>
      </c>
      <c r="C439" s="89" t="s">
        <v>562</v>
      </c>
      <c r="D439" s="90" t="s">
        <v>19</v>
      </c>
      <c r="E439" s="91">
        <v>2</v>
      </c>
      <c r="F439" s="11">
        <f>VLOOKUP(A439,'[1]CORREÇÃO DOS ITENS DIVERGENTES'!$A$13:$G$490,7)</f>
        <v>81.601309050391919</v>
      </c>
      <c r="G439" s="91">
        <f t="shared" si="202"/>
        <v>102.0016363129899</v>
      </c>
      <c r="H439" s="12">
        <f t="shared" si="203"/>
        <v>204.0032726259798</v>
      </c>
      <c r="I439" s="22">
        <v>2</v>
      </c>
      <c r="J439" s="11">
        <f t="shared" si="204"/>
        <v>81.601309050391919</v>
      </c>
      <c r="K439" s="10">
        <f t="shared" si="205"/>
        <v>103.91926707567411</v>
      </c>
      <c r="L439" s="12">
        <f t="shared" si="208"/>
        <v>207.83853415134823</v>
      </c>
      <c r="M439" s="11">
        <v>0</v>
      </c>
      <c r="N439" s="11">
        <f t="shared" si="206"/>
        <v>81.601309050391919</v>
      </c>
      <c r="O439" s="10">
        <f t="shared" si="207"/>
        <v>103.91926707567411</v>
      </c>
      <c r="P439" s="12">
        <f t="shared" si="209"/>
        <v>0</v>
      </c>
      <c r="Q439" s="148"/>
      <c r="R439" s="74"/>
      <c r="S439" s="47">
        <f>F439-'[1]CORREÇÃO DOS ITENS DIVERGENTES'!$P400</f>
        <v>0</v>
      </c>
      <c r="T439" s="12">
        <f t="shared" si="201"/>
        <v>204.0032726259798</v>
      </c>
      <c r="V439" s="41"/>
    </row>
    <row r="440" spans="1:22" hidden="1">
      <c r="A440" s="118">
        <v>28030000</v>
      </c>
      <c r="B440" s="89" t="s">
        <v>563</v>
      </c>
      <c r="C440" s="89" t="s">
        <v>564</v>
      </c>
      <c r="D440" s="90" t="s">
        <v>19</v>
      </c>
      <c r="E440" s="91">
        <v>4</v>
      </c>
      <c r="F440" s="11">
        <f>VLOOKUP(A440,'[1]CORREÇÃO DOS ITENS DIVERGENTES'!$A$13:$G$490,7)</f>
        <v>0.53218245032864286</v>
      </c>
      <c r="G440" s="91">
        <f t="shared" si="202"/>
        <v>0.66522806291080361</v>
      </c>
      <c r="H440" s="12">
        <f t="shared" si="203"/>
        <v>2.6609122516432144</v>
      </c>
      <c r="I440" s="22">
        <v>4</v>
      </c>
      <c r="J440" s="11">
        <f t="shared" si="204"/>
        <v>0.53218245032864286</v>
      </c>
      <c r="K440" s="10">
        <f t="shared" si="205"/>
        <v>0.6777343504935267</v>
      </c>
      <c r="L440" s="12">
        <f t="shared" si="208"/>
        <v>2.7109374019741068</v>
      </c>
      <c r="M440" s="11">
        <v>0</v>
      </c>
      <c r="N440" s="11">
        <f t="shared" si="206"/>
        <v>0.53218245032864286</v>
      </c>
      <c r="O440" s="10">
        <f t="shared" si="207"/>
        <v>0.6777343504935267</v>
      </c>
      <c r="P440" s="12">
        <f t="shared" si="209"/>
        <v>0</v>
      </c>
      <c r="Q440" s="148"/>
      <c r="R440" s="74"/>
      <c r="S440" s="47">
        <f>F440-'[1]CORREÇÃO DOS ITENS DIVERGENTES'!$P401</f>
        <v>0</v>
      </c>
      <c r="T440" s="12">
        <f t="shared" si="201"/>
        <v>2.6609122516432144</v>
      </c>
      <c r="V440" s="41"/>
    </row>
    <row r="441" spans="1:22" ht="22.5" hidden="1">
      <c r="A441" s="118">
        <v>28031000</v>
      </c>
      <c r="B441" s="89" t="s">
        <v>565</v>
      </c>
      <c r="C441" s="89" t="s">
        <v>566</v>
      </c>
      <c r="D441" s="90" t="s">
        <v>19</v>
      </c>
      <c r="E441" s="91">
        <v>1</v>
      </c>
      <c r="F441" s="11">
        <f>VLOOKUP(A441,'[1]CORREÇÃO DOS ITENS DIVERGENTES'!$A$13:$G$490,7)</f>
        <v>11.291137654472708</v>
      </c>
      <c r="G441" s="91">
        <f t="shared" si="202"/>
        <v>14.113922068090885</v>
      </c>
      <c r="H441" s="12">
        <f t="shared" si="203"/>
        <v>14.113922068090885</v>
      </c>
      <c r="I441" s="22">
        <v>1</v>
      </c>
      <c r="J441" s="11">
        <f t="shared" si="204"/>
        <v>11.291137654472708</v>
      </c>
      <c r="K441" s="10">
        <f t="shared" si="205"/>
        <v>14.379263802970994</v>
      </c>
      <c r="L441" s="12">
        <f t="shared" si="208"/>
        <v>14.379263802970994</v>
      </c>
      <c r="M441" s="11">
        <v>0</v>
      </c>
      <c r="N441" s="11">
        <f t="shared" si="206"/>
        <v>11.291137654472708</v>
      </c>
      <c r="O441" s="10">
        <f t="shared" si="207"/>
        <v>14.379263802970994</v>
      </c>
      <c r="P441" s="12">
        <f t="shared" si="209"/>
        <v>0</v>
      </c>
      <c r="Q441" s="148"/>
      <c r="R441" s="74"/>
      <c r="S441" s="47">
        <f>F441-'[1]CORREÇÃO DOS ITENS DIVERGENTES'!$P402</f>
        <v>0</v>
      </c>
      <c r="T441" s="12">
        <f t="shared" si="201"/>
        <v>14.113922068090885</v>
      </c>
      <c r="V441" s="41"/>
    </row>
    <row r="442" spans="1:22" hidden="1">
      <c r="A442" s="118"/>
      <c r="B442" s="89" t="s">
        <v>567</v>
      </c>
      <c r="C442" s="89" t="s">
        <v>568</v>
      </c>
      <c r="D442" s="90"/>
      <c r="E442" s="91">
        <v>0</v>
      </c>
      <c r="F442" s="91"/>
      <c r="G442" s="91">
        <f t="shared" si="202"/>
        <v>0</v>
      </c>
      <c r="H442" s="12"/>
      <c r="I442" s="22">
        <f>M442</f>
        <v>90</v>
      </c>
      <c r="J442" s="10">
        <v>0.1</v>
      </c>
      <c r="K442" s="10">
        <v>2.69</v>
      </c>
      <c r="L442" s="12">
        <f t="shared" si="208"/>
        <v>242.1</v>
      </c>
      <c r="M442" s="11">
        <v>90</v>
      </c>
      <c r="N442" s="11">
        <f>O442/27.35</f>
        <v>9.8354661791590484E-2</v>
      </c>
      <c r="O442" s="10">
        <v>2.69</v>
      </c>
      <c r="P442" s="12">
        <f t="shared" si="209"/>
        <v>242.1</v>
      </c>
      <c r="Q442" s="148"/>
      <c r="R442" s="74"/>
      <c r="S442" s="74"/>
      <c r="T442" s="12">
        <f t="shared" si="201"/>
        <v>0</v>
      </c>
      <c r="V442" s="41"/>
    </row>
    <row r="443" spans="1:22" ht="22.5" hidden="1">
      <c r="A443" s="118">
        <v>28032000</v>
      </c>
      <c r="B443" s="89" t="s">
        <v>465</v>
      </c>
      <c r="C443" s="89" t="s">
        <v>466</v>
      </c>
      <c r="D443" s="90" t="s">
        <v>19</v>
      </c>
      <c r="E443" s="91">
        <v>1</v>
      </c>
      <c r="F443" s="11">
        <f>VLOOKUP(A443,'[1]CORREÇÃO DOS ITENS DIVERGENTES'!$A$13:$G$490,7)</f>
        <v>109.89567599286477</v>
      </c>
      <c r="G443" s="91">
        <f t="shared" si="202"/>
        <v>137.36959499108096</v>
      </c>
      <c r="H443" s="12">
        <f>E443*G443</f>
        <v>137.36959499108096</v>
      </c>
      <c r="I443" s="22">
        <v>1</v>
      </c>
      <c r="J443" s="11">
        <f>F443</f>
        <v>109.89567599286477</v>
      </c>
      <c r="K443" s="10">
        <f t="shared" ref="K443" si="210">J443*1.2735</f>
        <v>139.95214337691328</v>
      </c>
      <c r="L443" s="12">
        <f>I443*K443</f>
        <v>139.95214337691328</v>
      </c>
      <c r="M443" s="11">
        <v>0</v>
      </c>
      <c r="N443" s="11">
        <f t="shared" si="206"/>
        <v>109.89567599286477</v>
      </c>
      <c r="O443" s="10">
        <f t="shared" si="207"/>
        <v>139.95214337691328</v>
      </c>
      <c r="P443" s="12">
        <f t="shared" si="209"/>
        <v>0</v>
      </c>
      <c r="Q443" s="148"/>
      <c r="R443" s="74"/>
      <c r="S443" s="47">
        <f>F443-'[1]CORREÇÃO DOS ITENS DIVERGENTES'!$P403</f>
        <v>0</v>
      </c>
      <c r="T443" s="12">
        <f t="shared" si="201"/>
        <v>137.36959499108096</v>
      </c>
      <c r="V443" s="41"/>
    </row>
    <row r="444" spans="1:22" hidden="1">
      <c r="A444" s="118"/>
      <c r="B444" s="89" t="s">
        <v>569</v>
      </c>
      <c r="C444" s="89" t="s">
        <v>570</v>
      </c>
      <c r="D444" s="90"/>
      <c r="E444" s="91">
        <v>0</v>
      </c>
      <c r="F444" s="11"/>
      <c r="G444" s="91">
        <f t="shared" si="202"/>
        <v>0</v>
      </c>
      <c r="H444" s="12"/>
      <c r="I444" s="49">
        <f t="shared" ref="I444:I449" si="211">M444</f>
        <v>2</v>
      </c>
      <c r="J444" s="50">
        <v>3.12</v>
      </c>
      <c r="K444" s="13">
        <v>85.35</v>
      </c>
      <c r="L444" s="12">
        <f t="shared" ref="L444:L449" si="212">I444*K444</f>
        <v>170.7</v>
      </c>
      <c r="M444" s="11">
        <v>2</v>
      </c>
      <c r="N444" s="11">
        <f>O444/27.35</f>
        <v>3.1206581352833633</v>
      </c>
      <c r="O444" s="10">
        <v>85.35</v>
      </c>
      <c r="P444" s="12">
        <f t="shared" si="209"/>
        <v>170.7</v>
      </c>
      <c r="Q444" s="148"/>
      <c r="R444" s="74"/>
      <c r="S444" s="74"/>
      <c r="T444" s="12">
        <f t="shared" si="201"/>
        <v>0</v>
      </c>
      <c r="V444" s="41"/>
    </row>
    <row r="445" spans="1:22" hidden="1">
      <c r="A445" s="118"/>
      <c r="B445" s="89" t="s">
        <v>571</v>
      </c>
      <c r="C445" s="89" t="s">
        <v>572</v>
      </c>
      <c r="D445" s="90"/>
      <c r="E445" s="91">
        <v>0</v>
      </c>
      <c r="F445" s="11"/>
      <c r="G445" s="91">
        <f t="shared" si="202"/>
        <v>0</v>
      </c>
      <c r="H445" s="12"/>
      <c r="I445" s="49">
        <f t="shared" si="211"/>
        <v>4</v>
      </c>
      <c r="J445" s="50">
        <v>2.2400000000000002</v>
      </c>
      <c r="K445" s="13">
        <v>61.24</v>
      </c>
      <c r="L445" s="12">
        <f t="shared" si="212"/>
        <v>244.96</v>
      </c>
      <c r="M445" s="11">
        <v>4</v>
      </c>
      <c r="N445" s="11">
        <f t="shared" ref="N445:N449" si="213">O445/27.35</f>
        <v>2.2391224862888484</v>
      </c>
      <c r="O445" s="10">
        <v>61.24</v>
      </c>
      <c r="P445" s="12">
        <f t="shared" si="209"/>
        <v>244.96</v>
      </c>
      <c r="Q445" s="148"/>
      <c r="R445" s="74"/>
      <c r="S445" s="74"/>
      <c r="T445" s="12">
        <f t="shared" si="201"/>
        <v>0</v>
      </c>
      <c r="V445" s="41"/>
    </row>
    <row r="446" spans="1:22" hidden="1">
      <c r="A446" s="118"/>
      <c r="B446" s="89">
        <v>72334</v>
      </c>
      <c r="C446" s="89" t="s">
        <v>573</v>
      </c>
      <c r="D446" s="90"/>
      <c r="E446" s="91">
        <v>0</v>
      </c>
      <c r="F446" s="11"/>
      <c r="G446" s="91">
        <f t="shared" si="202"/>
        <v>0</v>
      </c>
      <c r="H446" s="12"/>
      <c r="I446" s="49">
        <f t="shared" si="211"/>
        <v>1</v>
      </c>
      <c r="J446" s="50">
        <v>0.39</v>
      </c>
      <c r="K446" s="13">
        <v>10.71</v>
      </c>
      <c r="L446" s="12">
        <f t="shared" si="212"/>
        <v>10.71</v>
      </c>
      <c r="M446" s="11">
        <v>1</v>
      </c>
      <c r="N446" s="11">
        <f t="shared" si="213"/>
        <v>0.39159049360146253</v>
      </c>
      <c r="O446" s="10">
        <v>10.71</v>
      </c>
      <c r="P446" s="12">
        <f t="shared" si="209"/>
        <v>10.71</v>
      </c>
      <c r="Q446" s="148"/>
      <c r="R446" s="74"/>
      <c r="S446" s="74"/>
      <c r="T446" s="12">
        <f t="shared" si="201"/>
        <v>0</v>
      </c>
      <c r="V446" s="41"/>
    </row>
    <row r="447" spans="1:22" hidden="1">
      <c r="A447" s="118"/>
      <c r="B447" s="89">
        <v>12122</v>
      </c>
      <c r="C447" s="89" t="s">
        <v>574</v>
      </c>
      <c r="D447" s="90"/>
      <c r="E447" s="91">
        <v>0</v>
      </c>
      <c r="F447" s="11"/>
      <c r="G447" s="91">
        <f t="shared" si="202"/>
        <v>0</v>
      </c>
      <c r="H447" s="12"/>
      <c r="I447" s="49">
        <f t="shared" si="211"/>
        <v>1</v>
      </c>
      <c r="J447" s="50">
        <v>0.76</v>
      </c>
      <c r="K447" s="13">
        <v>20.83</v>
      </c>
      <c r="L447" s="12">
        <f t="shared" si="212"/>
        <v>20.83</v>
      </c>
      <c r="M447" s="11">
        <v>1</v>
      </c>
      <c r="N447" s="11">
        <f t="shared" si="213"/>
        <v>0.76160877513711145</v>
      </c>
      <c r="O447" s="10">
        <v>20.83</v>
      </c>
      <c r="P447" s="12">
        <f t="shared" si="209"/>
        <v>20.83</v>
      </c>
      <c r="Q447" s="148"/>
      <c r="R447" s="74"/>
      <c r="S447" s="74"/>
      <c r="T447" s="12">
        <f t="shared" si="201"/>
        <v>0</v>
      </c>
      <c r="V447" s="41"/>
    </row>
    <row r="448" spans="1:22" hidden="1">
      <c r="A448" s="118"/>
      <c r="B448" s="89">
        <v>72339</v>
      </c>
      <c r="C448" s="89" t="s">
        <v>575</v>
      </c>
      <c r="D448" s="90"/>
      <c r="E448" s="91">
        <v>0</v>
      </c>
      <c r="F448" s="11"/>
      <c r="G448" s="91">
        <f t="shared" si="202"/>
        <v>0</v>
      </c>
      <c r="H448" s="12"/>
      <c r="I448" s="49">
        <f t="shared" si="211"/>
        <v>1</v>
      </c>
      <c r="J448" s="50">
        <v>1.07</v>
      </c>
      <c r="K448" s="13">
        <v>29.15</v>
      </c>
      <c r="L448" s="12">
        <f t="shared" si="212"/>
        <v>29.15</v>
      </c>
      <c r="M448" s="11">
        <v>1</v>
      </c>
      <c r="N448" s="11">
        <f t="shared" si="213"/>
        <v>1.0658135283363801</v>
      </c>
      <c r="O448" s="10">
        <v>29.15</v>
      </c>
      <c r="P448" s="12">
        <f t="shared" si="209"/>
        <v>29.15</v>
      </c>
      <c r="Q448" s="148"/>
      <c r="R448" s="74"/>
      <c r="S448" s="74"/>
      <c r="T448" s="12">
        <f t="shared" si="201"/>
        <v>0</v>
      </c>
      <c r="V448" s="41"/>
    </row>
    <row r="449" spans="1:22" hidden="1">
      <c r="A449" s="118"/>
      <c r="B449" s="89">
        <v>7529</v>
      </c>
      <c r="C449" s="89" t="s">
        <v>576</v>
      </c>
      <c r="D449" s="90"/>
      <c r="E449" s="91">
        <v>0</v>
      </c>
      <c r="F449" s="11"/>
      <c r="G449" s="91">
        <f t="shared" si="202"/>
        <v>0</v>
      </c>
      <c r="H449" s="12"/>
      <c r="I449" s="49">
        <f t="shared" si="211"/>
        <v>3</v>
      </c>
      <c r="J449" s="50">
        <v>0.78</v>
      </c>
      <c r="K449" s="13">
        <v>21.36</v>
      </c>
      <c r="L449" s="12">
        <f t="shared" si="212"/>
        <v>64.08</v>
      </c>
      <c r="M449" s="11">
        <v>3</v>
      </c>
      <c r="N449" s="11">
        <f t="shared" si="213"/>
        <v>0.78098720292504564</v>
      </c>
      <c r="O449" s="10">
        <v>21.36</v>
      </c>
      <c r="P449" s="12">
        <f t="shared" si="209"/>
        <v>64.08</v>
      </c>
      <c r="Q449" s="148"/>
      <c r="R449" s="74"/>
      <c r="S449" s="74"/>
      <c r="T449" s="12">
        <f t="shared" si="201"/>
        <v>0</v>
      </c>
      <c r="V449" s="41"/>
    </row>
    <row r="450" spans="1:22" s="8" customFormat="1" ht="14.25" hidden="1" customHeight="1">
      <c r="A450" s="126">
        <v>29000000</v>
      </c>
      <c r="B450" s="98"/>
      <c r="C450" s="187" t="s">
        <v>577</v>
      </c>
      <c r="D450" s="187"/>
      <c r="E450" s="187"/>
      <c r="F450" s="187"/>
      <c r="G450" s="91">
        <f t="shared" si="202"/>
        <v>0</v>
      </c>
      <c r="H450" s="134">
        <f>SUM(H451:H479)</f>
        <v>2781.0080912673793</v>
      </c>
      <c r="I450" s="27"/>
      <c r="J450" s="27"/>
      <c r="K450" s="27"/>
      <c r="L450" s="27">
        <f>SUM(L451:L479)</f>
        <v>2833.2910433832053</v>
      </c>
      <c r="M450" s="27"/>
      <c r="N450" s="27"/>
      <c r="O450" s="27"/>
      <c r="P450" s="26">
        <f>SUM(P451:P479)</f>
        <v>0</v>
      </c>
      <c r="Q450" s="160">
        <f t="shared" ref="Q450:Q501" si="214">L450+P450</f>
        <v>2833.2910433832053</v>
      </c>
      <c r="R450" s="159"/>
      <c r="S450" s="159"/>
      <c r="T450" s="12">
        <f t="shared" si="201"/>
        <v>0</v>
      </c>
      <c r="V450" s="42"/>
    </row>
    <row r="451" spans="1:22" ht="22.5" hidden="1">
      <c r="A451" s="118">
        <v>29001000</v>
      </c>
      <c r="B451" s="89" t="s">
        <v>578</v>
      </c>
      <c r="C451" s="89" t="s">
        <v>579</v>
      </c>
      <c r="D451" s="90" t="s">
        <v>580</v>
      </c>
      <c r="E451" s="91">
        <v>1</v>
      </c>
      <c r="F451" s="11">
        <f>VLOOKUP(A451,'[1]CORREÇÃO DOS ITENS DIVERGENTES'!$A$13:$G$490,7)</f>
        <v>108.88452933724035</v>
      </c>
      <c r="G451" s="91">
        <f t="shared" si="202"/>
        <v>136.10566167155045</v>
      </c>
      <c r="H451" s="12">
        <f t="shared" ref="H451:H479" si="215">E451*G451</f>
        <v>136.10566167155045</v>
      </c>
      <c r="I451" s="22">
        <v>1</v>
      </c>
      <c r="J451" s="11">
        <f t="shared" ref="J451:J479" si="216">F451</f>
        <v>108.88452933724035</v>
      </c>
      <c r="K451" s="10">
        <f t="shared" ref="K451:K479" si="217">J451*1.2735</f>
        <v>138.6644481109756</v>
      </c>
      <c r="L451" s="12">
        <f>I451*K451</f>
        <v>138.6644481109756</v>
      </c>
      <c r="M451" s="11">
        <v>0</v>
      </c>
      <c r="N451" s="11">
        <f t="shared" ref="N451:N479" si="218">J451</f>
        <v>108.88452933724035</v>
      </c>
      <c r="O451" s="10">
        <f t="shared" ref="O451:O479" si="219">N451*1.2735</f>
        <v>138.6644481109756</v>
      </c>
      <c r="P451" s="12">
        <f t="shared" si="209"/>
        <v>0</v>
      </c>
      <c r="Q451" s="148"/>
      <c r="R451" s="74"/>
      <c r="S451" s="47">
        <f>F451-'[1]CORREÇÃO DOS ITENS DIVERGENTES'!$P405</f>
        <v>0</v>
      </c>
      <c r="T451" s="12">
        <f t="shared" si="201"/>
        <v>136.10566167155045</v>
      </c>
      <c r="V451" s="41"/>
    </row>
    <row r="452" spans="1:22" ht="22.5" hidden="1">
      <c r="A452" s="118">
        <v>29002000</v>
      </c>
      <c r="B452" s="89" t="s">
        <v>581</v>
      </c>
      <c r="C452" s="89" t="s">
        <v>582</v>
      </c>
      <c r="D452" s="90" t="s">
        <v>580</v>
      </c>
      <c r="E452" s="91">
        <v>1</v>
      </c>
      <c r="F452" s="11">
        <f>VLOOKUP(A452,'[1]CORREÇÃO DOS ITENS DIVERGENTES'!$A$13:$G$490,7)</f>
        <v>55.666284304376049</v>
      </c>
      <c r="G452" s="91">
        <f t="shared" si="202"/>
        <v>69.582855380470065</v>
      </c>
      <c r="H452" s="12">
        <f t="shared" si="215"/>
        <v>69.582855380470065</v>
      </c>
      <c r="I452" s="22">
        <v>1</v>
      </c>
      <c r="J452" s="11">
        <f t="shared" si="216"/>
        <v>55.666284304376049</v>
      </c>
      <c r="K452" s="10">
        <f t="shared" si="217"/>
        <v>70.8910130616229</v>
      </c>
      <c r="L452" s="12">
        <f t="shared" ref="L452:L479" si="220">I452*K452</f>
        <v>70.8910130616229</v>
      </c>
      <c r="M452" s="11">
        <v>0</v>
      </c>
      <c r="N452" s="11">
        <f t="shared" si="218"/>
        <v>55.666284304376049</v>
      </c>
      <c r="O452" s="10">
        <f t="shared" si="219"/>
        <v>70.8910130616229</v>
      </c>
      <c r="P452" s="12">
        <f t="shared" si="209"/>
        <v>0</v>
      </c>
      <c r="Q452" s="148"/>
      <c r="R452" s="74"/>
      <c r="S452" s="47">
        <f>F452-'[1]CORREÇÃO DOS ITENS DIVERGENTES'!$P406</f>
        <v>0</v>
      </c>
      <c r="T452" s="12">
        <f t="shared" si="201"/>
        <v>69.582855380470065</v>
      </c>
      <c r="V452" s="41"/>
    </row>
    <row r="453" spans="1:22" ht="22.5" hidden="1">
      <c r="A453" s="118">
        <v>29003000</v>
      </c>
      <c r="B453" s="89" t="s">
        <v>583</v>
      </c>
      <c r="C453" s="89" t="s">
        <v>584</v>
      </c>
      <c r="D453" s="90" t="s">
        <v>580</v>
      </c>
      <c r="E453" s="91">
        <v>1</v>
      </c>
      <c r="F453" s="11">
        <f>VLOOKUP(A453,'[1]CORREÇÃO DOS ITENS DIVERGENTES'!$A$13:$G$490,7)</f>
        <v>55.666284304376049</v>
      </c>
      <c r="G453" s="91">
        <f t="shared" si="202"/>
        <v>69.582855380470065</v>
      </c>
      <c r="H453" s="12">
        <f t="shared" si="215"/>
        <v>69.582855380470065</v>
      </c>
      <c r="I453" s="22">
        <v>1</v>
      </c>
      <c r="J453" s="11">
        <f t="shared" si="216"/>
        <v>55.666284304376049</v>
      </c>
      <c r="K453" s="10">
        <f t="shared" si="217"/>
        <v>70.8910130616229</v>
      </c>
      <c r="L453" s="12">
        <f t="shared" si="220"/>
        <v>70.8910130616229</v>
      </c>
      <c r="M453" s="11">
        <v>0</v>
      </c>
      <c r="N453" s="11">
        <f t="shared" si="218"/>
        <v>55.666284304376049</v>
      </c>
      <c r="O453" s="10">
        <f t="shared" si="219"/>
        <v>70.8910130616229</v>
      </c>
      <c r="P453" s="12">
        <f t="shared" si="209"/>
        <v>0</v>
      </c>
      <c r="Q453" s="148"/>
      <c r="R453" s="74"/>
      <c r="S453" s="47">
        <f>F453-'[1]CORREÇÃO DOS ITENS DIVERGENTES'!$P407</f>
        <v>0</v>
      </c>
      <c r="T453" s="12">
        <f t="shared" si="201"/>
        <v>69.582855380470065</v>
      </c>
      <c r="V453" s="41"/>
    </row>
    <row r="454" spans="1:22" ht="22.5" hidden="1">
      <c r="A454" s="118">
        <v>29004000</v>
      </c>
      <c r="B454" s="89" t="s">
        <v>585</v>
      </c>
      <c r="C454" s="89" t="s">
        <v>586</v>
      </c>
      <c r="D454" s="90" t="s">
        <v>580</v>
      </c>
      <c r="E454" s="91">
        <v>1</v>
      </c>
      <c r="F454" s="11">
        <f>VLOOKUP(A454,'[1]CORREÇÃO DOS ITENS DIVERGENTES'!$A$13:$G$490,7)</f>
        <v>55.666284304376049</v>
      </c>
      <c r="G454" s="91">
        <f t="shared" si="202"/>
        <v>69.582855380470065</v>
      </c>
      <c r="H454" s="12">
        <f t="shared" si="215"/>
        <v>69.582855380470065</v>
      </c>
      <c r="I454" s="22">
        <v>1</v>
      </c>
      <c r="J454" s="11">
        <f t="shared" si="216"/>
        <v>55.666284304376049</v>
      </c>
      <c r="K454" s="10">
        <f t="shared" si="217"/>
        <v>70.8910130616229</v>
      </c>
      <c r="L454" s="12">
        <f t="shared" si="220"/>
        <v>70.8910130616229</v>
      </c>
      <c r="M454" s="11">
        <v>0</v>
      </c>
      <c r="N454" s="11">
        <f t="shared" si="218"/>
        <v>55.666284304376049</v>
      </c>
      <c r="O454" s="10">
        <f t="shared" si="219"/>
        <v>70.8910130616229</v>
      </c>
      <c r="P454" s="12">
        <f t="shared" si="209"/>
        <v>0</v>
      </c>
      <c r="Q454" s="148"/>
      <c r="R454" s="74"/>
      <c r="S454" s="47">
        <f>F454-'[1]CORREÇÃO DOS ITENS DIVERGENTES'!$P408</f>
        <v>0</v>
      </c>
      <c r="T454" s="12">
        <f t="shared" si="201"/>
        <v>69.582855380470065</v>
      </c>
      <c r="V454" s="41"/>
    </row>
    <row r="455" spans="1:22" ht="22.5" hidden="1">
      <c r="A455" s="118">
        <v>29005000</v>
      </c>
      <c r="B455" s="89" t="s">
        <v>587</v>
      </c>
      <c r="C455" s="89" t="s">
        <v>588</v>
      </c>
      <c r="D455" s="90" t="s">
        <v>580</v>
      </c>
      <c r="E455" s="91">
        <v>1</v>
      </c>
      <c r="F455" s="11">
        <f>VLOOKUP(A455,'[1]CORREÇÃO DOS ITENS DIVERGENTES'!$A$13:$G$490,7)</f>
        <v>55.666284304376049</v>
      </c>
      <c r="G455" s="91">
        <f t="shared" si="202"/>
        <v>69.582855380470065</v>
      </c>
      <c r="H455" s="12">
        <f t="shared" si="215"/>
        <v>69.582855380470065</v>
      </c>
      <c r="I455" s="22">
        <v>1</v>
      </c>
      <c r="J455" s="11">
        <f t="shared" si="216"/>
        <v>55.666284304376049</v>
      </c>
      <c r="K455" s="10">
        <f t="shared" si="217"/>
        <v>70.8910130616229</v>
      </c>
      <c r="L455" s="12">
        <f t="shared" si="220"/>
        <v>70.8910130616229</v>
      </c>
      <c r="M455" s="11">
        <v>0</v>
      </c>
      <c r="N455" s="11">
        <f t="shared" si="218"/>
        <v>55.666284304376049</v>
      </c>
      <c r="O455" s="10">
        <f t="shared" si="219"/>
        <v>70.8910130616229</v>
      </c>
      <c r="P455" s="12">
        <f t="shared" si="209"/>
        <v>0</v>
      </c>
      <c r="Q455" s="148"/>
      <c r="R455" s="74"/>
      <c r="S455" s="47">
        <f>F455-'[1]CORREÇÃO DOS ITENS DIVERGENTES'!$P409</f>
        <v>0</v>
      </c>
      <c r="T455" s="12">
        <f t="shared" si="201"/>
        <v>69.582855380470065</v>
      </c>
      <c r="V455" s="41"/>
    </row>
    <row r="456" spans="1:22" ht="22.5" hidden="1">
      <c r="A456" s="118">
        <v>29006000</v>
      </c>
      <c r="B456" s="89" t="s">
        <v>589</v>
      </c>
      <c r="C456" s="89" t="s">
        <v>590</v>
      </c>
      <c r="D456" s="90" t="s">
        <v>580</v>
      </c>
      <c r="E456" s="91">
        <v>1</v>
      </c>
      <c r="F456" s="11">
        <f>VLOOKUP(A456,'[1]CORREÇÃO DOS ITENS DIVERGENTES'!$A$13:$G$490,7)</f>
        <v>55.666284304376049</v>
      </c>
      <c r="G456" s="91">
        <f t="shared" si="202"/>
        <v>69.582855380470065</v>
      </c>
      <c r="H456" s="12">
        <f t="shared" si="215"/>
        <v>69.582855380470065</v>
      </c>
      <c r="I456" s="22">
        <v>1</v>
      </c>
      <c r="J456" s="11">
        <f t="shared" si="216"/>
        <v>55.666284304376049</v>
      </c>
      <c r="K456" s="10">
        <f t="shared" si="217"/>
        <v>70.8910130616229</v>
      </c>
      <c r="L456" s="12">
        <f t="shared" si="220"/>
        <v>70.8910130616229</v>
      </c>
      <c r="M456" s="11">
        <v>0</v>
      </c>
      <c r="N456" s="11">
        <f t="shared" si="218"/>
        <v>55.666284304376049</v>
      </c>
      <c r="O456" s="10">
        <f t="shared" si="219"/>
        <v>70.8910130616229</v>
      </c>
      <c r="P456" s="12">
        <f t="shared" si="209"/>
        <v>0</v>
      </c>
      <c r="Q456" s="148"/>
      <c r="R456" s="74"/>
      <c r="S456" s="47">
        <f>F456-'[1]CORREÇÃO DOS ITENS DIVERGENTES'!$P410</f>
        <v>0</v>
      </c>
      <c r="T456" s="12">
        <f t="shared" si="201"/>
        <v>69.582855380470065</v>
      </c>
      <c r="V456" s="41"/>
    </row>
    <row r="457" spans="1:22" ht="22.5" hidden="1">
      <c r="A457" s="118">
        <v>29007000</v>
      </c>
      <c r="B457" s="89" t="s">
        <v>591</v>
      </c>
      <c r="C457" s="89" t="s">
        <v>592</v>
      </c>
      <c r="D457" s="90" t="s">
        <v>580</v>
      </c>
      <c r="E457" s="91">
        <v>1</v>
      </c>
      <c r="F457" s="11">
        <f>VLOOKUP(A457,'[1]CORREÇÃO DOS ITENS DIVERGENTES'!$A$13:$G$490,7)</f>
        <v>55.666284304376049</v>
      </c>
      <c r="G457" s="91">
        <f t="shared" si="202"/>
        <v>69.582855380470065</v>
      </c>
      <c r="H457" s="12">
        <f t="shared" si="215"/>
        <v>69.582855380470065</v>
      </c>
      <c r="I457" s="22">
        <v>1</v>
      </c>
      <c r="J457" s="11">
        <f t="shared" si="216"/>
        <v>55.666284304376049</v>
      </c>
      <c r="K457" s="10">
        <f t="shared" si="217"/>
        <v>70.8910130616229</v>
      </c>
      <c r="L457" s="12">
        <f t="shared" si="220"/>
        <v>70.8910130616229</v>
      </c>
      <c r="M457" s="11">
        <v>0</v>
      </c>
      <c r="N457" s="11">
        <f t="shared" si="218"/>
        <v>55.666284304376049</v>
      </c>
      <c r="O457" s="10">
        <f t="shared" si="219"/>
        <v>70.8910130616229</v>
      </c>
      <c r="P457" s="12">
        <f t="shared" si="209"/>
        <v>0</v>
      </c>
      <c r="Q457" s="148"/>
      <c r="R457" s="74"/>
      <c r="S457" s="47">
        <f>F457-'[1]CORREÇÃO DOS ITENS DIVERGENTES'!$P411</f>
        <v>0</v>
      </c>
      <c r="T457" s="12">
        <f t="shared" si="201"/>
        <v>69.582855380470065</v>
      </c>
      <c r="V457" s="41"/>
    </row>
    <row r="458" spans="1:22" ht="22.5" hidden="1">
      <c r="A458" s="118">
        <v>29008000</v>
      </c>
      <c r="B458" s="89" t="s">
        <v>593</v>
      </c>
      <c r="C458" s="89" t="s">
        <v>594</v>
      </c>
      <c r="D458" s="90" t="s">
        <v>580</v>
      </c>
      <c r="E458" s="91">
        <v>1</v>
      </c>
      <c r="F458" s="11">
        <f>VLOOKUP(A458,'[1]CORREÇÃO DOS ITENS DIVERGENTES'!$A$13:$G$490,7)</f>
        <v>55.666284304376049</v>
      </c>
      <c r="G458" s="91">
        <f t="shared" si="202"/>
        <v>69.582855380470065</v>
      </c>
      <c r="H458" s="12">
        <f t="shared" si="215"/>
        <v>69.582855380470065</v>
      </c>
      <c r="I458" s="22">
        <v>1</v>
      </c>
      <c r="J458" s="11">
        <f t="shared" si="216"/>
        <v>55.666284304376049</v>
      </c>
      <c r="K458" s="10">
        <f t="shared" si="217"/>
        <v>70.8910130616229</v>
      </c>
      <c r="L458" s="12">
        <f t="shared" si="220"/>
        <v>70.8910130616229</v>
      </c>
      <c r="M458" s="11">
        <v>0</v>
      </c>
      <c r="N458" s="11">
        <f t="shared" si="218"/>
        <v>55.666284304376049</v>
      </c>
      <c r="O458" s="10">
        <f t="shared" si="219"/>
        <v>70.8910130616229</v>
      </c>
      <c r="P458" s="12">
        <f t="shared" si="209"/>
        <v>0</v>
      </c>
      <c r="Q458" s="148"/>
      <c r="R458" s="74"/>
      <c r="S458" s="47">
        <f>F458-'[1]CORREÇÃO DOS ITENS DIVERGENTES'!$P412</f>
        <v>0</v>
      </c>
      <c r="T458" s="12">
        <f t="shared" si="201"/>
        <v>69.582855380470065</v>
      </c>
      <c r="V458" s="41"/>
    </row>
    <row r="459" spans="1:22" ht="22.5" hidden="1">
      <c r="A459" s="118">
        <v>29009000</v>
      </c>
      <c r="B459" s="89" t="s">
        <v>595</v>
      </c>
      <c r="C459" s="89" t="s">
        <v>596</v>
      </c>
      <c r="D459" s="90" t="s">
        <v>580</v>
      </c>
      <c r="E459" s="91">
        <v>1</v>
      </c>
      <c r="F459" s="11">
        <f>VLOOKUP(A459,'[1]CORREÇÃO DOS ITENS DIVERGENTES'!$A$13:$G$490,7)</f>
        <v>55.666284304376049</v>
      </c>
      <c r="G459" s="91">
        <f t="shared" si="202"/>
        <v>69.582855380470065</v>
      </c>
      <c r="H459" s="12">
        <f t="shared" si="215"/>
        <v>69.582855380470065</v>
      </c>
      <c r="I459" s="22">
        <v>1</v>
      </c>
      <c r="J459" s="11">
        <f t="shared" si="216"/>
        <v>55.666284304376049</v>
      </c>
      <c r="K459" s="10">
        <f t="shared" si="217"/>
        <v>70.8910130616229</v>
      </c>
      <c r="L459" s="12">
        <f t="shared" si="220"/>
        <v>70.8910130616229</v>
      </c>
      <c r="M459" s="11">
        <v>0</v>
      </c>
      <c r="N459" s="11">
        <f t="shared" si="218"/>
        <v>55.666284304376049</v>
      </c>
      <c r="O459" s="10">
        <f t="shared" si="219"/>
        <v>70.8910130616229</v>
      </c>
      <c r="P459" s="12">
        <f t="shared" si="209"/>
        <v>0</v>
      </c>
      <c r="Q459" s="148"/>
      <c r="R459" s="74"/>
      <c r="S459" s="47">
        <f>F459-'[1]CORREÇÃO DOS ITENS DIVERGENTES'!$P413</f>
        <v>0</v>
      </c>
      <c r="T459" s="12">
        <f t="shared" si="201"/>
        <v>69.582855380470065</v>
      </c>
      <c r="V459" s="41"/>
    </row>
    <row r="460" spans="1:22" ht="22.5" hidden="1">
      <c r="A460" s="118">
        <v>29010000</v>
      </c>
      <c r="B460" s="89" t="s">
        <v>597</v>
      </c>
      <c r="C460" s="89" t="s">
        <v>598</v>
      </c>
      <c r="D460" s="90" t="s">
        <v>580</v>
      </c>
      <c r="E460" s="91">
        <v>1</v>
      </c>
      <c r="F460" s="11">
        <f>VLOOKUP(A460,'[1]CORREÇÃO DOS ITENS DIVERGENTES'!$A$13:$G$490,7)</f>
        <v>55.666284304376049</v>
      </c>
      <c r="G460" s="91">
        <f t="shared" si="202"/>
        <v>69.582855380470065</v>
      </c>
      <c r="H460" s="12">
        <f t="shared" si="215"/>
        <v>69.582855380470065</v>
      </c>
      <c r="I460" s="22">
        <v>1</v>
      </c>
      <c r="J460" s="11">
        <f t="shared" si="216"/>
        <v>55.666284304376049</v>
      </c>
      <c r="K460" s="10">
        <f t="shared" si="217"/>
        <v>70.8910130616229</v>
      </c>
      <c r="L460" s="12">
        <f t="shared" si="220"/>
        <v>70.8910130616229</v>
      </c>
      <c r="M460" s="11">
        <v>0</v>
      </c>
      <c r="N460" s="11">
        <f t="shared" si="218"/>
        <v>55.666284304376049</v>
      </c>
      <c r="O460" s="10">
        <f t="shared" si="219"/>
        <v>70.8910130616229</v>
      </c>
      <c r="P460" s="12">
        <f t="shared" si="209"/>
        <v>0</v>
      </c>
      <c r="Q460" s="148"/>
      <c r="R460" s="74"/>
      <c r="S460" s="47">
        <f>F460-'[1]CORREÇÃO DOS ITENS DIVERGENTES'!$P414</f>
        <v>0</v>
      </c>
      <c r="T460" s="12">
        <f t="shared" si="201"/>
        <v>69.582855380470065</v>
      </c>
      <c r="V460" s="41"/>
    </row>
    <row r="461" spans="1:22" ht="22.5" hidden="1">
      <c r="A461" s="118">
        <v>29011000</v>
      </c>
      <c r="B461" s="89" t="s">
        <v>599</v>
      </c>
      <c r="C461" s="89" t="s">
        <v>600</v>
      </c>
      <c r="D461" s="90" t="s">
        <v>580</v>
      </c>
      <c r="E461" s="91">
        <v>1</v>
      </c>
      <c r="F461" s="11">
        <f>VLOOKUP(A461,'[1]CORREÇÃO DOS ITENS DIVERGENTES'!$A$13:$G$490,7)</f>
        <v>55.666284304376049</v>
      </c>
      <c r="G461" s="91">
        <f t="shared" si="202"/>
        <v>69.582855380470065</v>
      </c>
      <c r="H461" s="12">
        <f t="shared" si="215"/>
        <v>69.582855380470065</v>
      </c>
      <c r="I461" s="22">
        <v>1</v>
      </c>
      <c r="J461" s="11">
        <f t="shared" si="216"/>
        <v>55.666284304376049</v>
      </c>
      <c r="K461" s="10">
        <f t="shared" si="217"/>
        <v>70.8910130616229</v>
      </c>
      <c r="L461" s="12">
        <f t="shared" si="220"/>
        <v>70.8910130616229</v>
      </c>
      <c r="M461" s="11">
        <v>0</v>
      </c>
      <c r="N461" s="11">
        <f t="shared" si="218"/>
        <v>55.666284304376049</v>
      </c>
      <c r="O461" s="10">
        <f t="shared" si="219"/>
        <v>70.8910130616229</v>
      </c>
      <c r="P461" s="12">
        <f t="shared" si="209"/>
        <v>0</v>
      </c>
      <c r="Q461" s="148"/>
      <c r="R461" s="74"/>
      <c r="S461" s="47">
        <f>F461-'[1]CORREÇÃO DOS ITENS DIVERGENTES'!$P415</f>
        <v>0</v>
      </c>
      <c r="T461" s="12">
        <f t="shared" si="201"/>
        <v>69.582855380470065</v>
      </c>
      <c r="V461" s="41"/>
    </row>
    <row r="462" spans="1:22" ht="22.5" hidden="1">
      <c r="A462" s="118">
        <v>29012000</v>
      </c>
      <c r="B462" s="89" t="s">
        <v>601</v>
      </c>
      <c r="C462" s="89" t="s">
        <v>602</v>
      </c>
      <c r="D462" s="90" t="s">
        <v>580</v>
      </c>
      <c r="E462" s="91">
        <v>1</v>
      </c>
      <c r="F462" s="11">
        <f>VLOOKUP(A462,'[1]CORREÇÃO DOS ITENS DIVERGENTES'!$A$13:$G$490,7)</f>
        <v>55.666284304376049</v>
      </c>
      <c r="G462" s="91">
        <f t="shared" si="202"/>
        <v>69.582855380470065</v>
      </c>
      <c r="H462" s="12">
        <f t="shared" si="215"/>
        <v>69.582855380470065</v>
      </c>
      <c r="I462" s="22">
        <v>1</v>
      </c>
      <c r="J462" s="11">
        <f t="shared" si="216"/>
        <v>55.666284304376049</v>
      </c>
      <c r="K462" s="10">
        <f t="shared" si="217"/>
        <v>70.8910130616229</v>
      </c>
      <c r="L462" s="12">
        <f t="shared" si="220"/>
        <v>70.8910130616229</v>
      </c>
      <c r="M462" s="11">
        <v>0</v>
      </c>
      <c r="N462" s="11">
        <f t="shared" si="218"/>
        <v>55.666284304376049</v>
      </c>
      <c r="O462" s="10">
        <f t="shared" si="219"/>
        <v>70.8910130616229</v>
      </c>
      <c r="P462" s="12">
        <f t="shared" si="209"/>
        <v>0</v>
      </c>
      <c r="Q462" s="148"/>
      <c r="R462" s="74"/>
      <c r="S462" s="47">
        <f>F462-'[1]CORREÇÃO DOS ITENS DIVERGENTES'!$P416</f>
        <v>0</v>
      </c>
      <c r="T462" s="12">
        <f t="shared" si="201"/>
        <v>69.582855380470065</v>
      </c>
      <c r="V462" s="41"/>
    </row>
    <row r="463" spans="1:22" ht="22.5" hidden="1">
      <c r="A463" s="118">
        <v>29013000</v>
      </c>
      <c r="B463" s="89" t="s">
        <v>603</v>
      </c>
      <c r="C463" s="89" t="s">
        <v>604</v>
      </c>
      <c r="D463" s="90" t="s">
        <v>580</v>
      </c>
      <c r="E463" s="91">
        <v>1</v>
      </c>
      <c r="F463" s="11">
        <f>VLOOKUP(A463,'[1]CORREÇÃO DOS ITENS DIVERGENTES'!$A$13:$G$490,7)</f>
        <v>55.666284304376049</v>
      </c>
      <c r="G463" s="91">
        <f t="shared" si="202"/>
        <v>69.582855380470065</v>
      </c>
      <c r="H463" s="12">
        <f t="shared" si="215"/>
        <v>69.582855380470065</v>
      </c>
      <c r="I463" s="22">
        <v>1</v>
      </c>
      <c r="J463" s="11">
        <f t="shared" si="216"/>
        <v>55.666284304376049</v>
      </c>
      <c r="K463" s="10">
        <f t="shared" si="217"/>
        <v>70.8910130616229</v>
      </c>
      <c r="L463" s="12">
        <f t="shared" si="220"/>
        <v>70.8910130616229</v>
      </c>
      <c r="M463" s="11">
        <v>0</v>
      </c>
      <c r="N463" s="11">
        <f t="shared" si="218"/>
        <v>55.666284304376049</v>
      </c>
      <c r="O463" s="10">
        <f t="shared" si="219"/>
        <v>70.8910130616229</v>
      </c>
      <c r="P463" s="12">
        <f t="shared" si="209"/>
        <v>0</v>
      </c>
      <c r="Q463" s="148"/>
      <c r="R463" s="74"/>
      <c r="S463" s="47">
        <f>F463-'[1]CORREÇÃO DOS ITENS DIVERGENTES'!$P417</f>
        <v>0</v>
      </c>
      <c r="T463" s="12">
        <f t="shared" si="201"/>
        <v>69.582855380470065</v>
      </c>
      <c r="V463" s="41"/>
    </row>
    <row r="464" spans="1:22" ht="22.5" hidden="1">
      <c r="A464" s="118">
        <v>29014000</v>
      </c>
      <c r="B464" s="89" t="s">
        <v>605</v>
      </c>
      <c r="C464" s="89" t="s">
        <v>606</v>
      </c>
      <c r="D464" s="90" t="s">
        <v>580</v>
      </c>
      <c r="E464" s="91">
        <v>1</v>
      </c>
      <c r="F464" s="11">
        <f>VLOOKUP(A464,'[1]CORREÇÃO DOS ITENS DIVERGENTES'!$A$13:$G$490,7)</f>
        <v>55.666284304376049</v>
      </c>
      <c r="G464" s="91">
        <f t="shared" si="202"/>
        <v>69.582855380470065</v>
      </c>
      <c r="H464" s="12">
        <f t="shared" si="215"/>
        <v>69.582855380470065</v>
      </c>
      <c r="I464" s="22">
        <v>1</v>
      </c>
      <c r="J464" s="11">
        <f t="shared" si="216"/>
        <v>55.666284304376049</v>
      </c>
      <c r="K464" s="10">
        <f t="shared" si="217"/>
        <v>70.8910130616229</v>
      </c>
      <c r="L464" s="12">
        <f t="shared" si="220"/>
        <v>70.8910130616229</v>
      </c>
      <c r="M464" s="11">
        <v>0</v>
      </c>
      <c r="N464" s="11">
        <f t="shared" si="218"/>
        <v>55.666284304376049</v>
      </c>
      <c r="O464" s="10">
        <f t="shared" si="219"/>
        <v>70.8910130616229</v>
      </c>
      <c r="P464" s="12">
        <f t="shared" si="209"/>
        <v>0</v>
      </c>
      <c r="Q464" s="148"/>
      <c r="R464" s="74"/>
      <c r="S464" s="47">
        <f>F464-'[1]CORREÇÃO DOS ITENS DIVERGENTES'!$P418</f>
        <v>0</v>
      </c>
      <c r="T464" s="12">
        <f t="shared" ref="T464:T527" si="221">E464*G464</f>
        <v>69.582855380470065</v>
      </c>
      <c r="V464" s="41"/>
    </row>
    <row r="465" spans="1:22" ht="22.5" hidden="1">
      <c r="A465" s="118">
        <v>29015000</v>
      </c>
      <c r="B465" s="89" t="s">
        <v>607</v>
      </c>
      <c r="C465" s="89" t="s">
        <v>608</v>
      </c>
      <c r="D465" s="90" t="s">
        <v>580</v>
      </c>
      <c r="E465" s="91">
        <v>1</v>
      </c>
      <c r="F465" s="11">
        <f>VLOOKUP(A465,'[1]CORREÇÃO DOS ITENS DIVERGENTES'!$A$13:$G$490,7)</f>
        <v>55.666284304376049</v>
      </c>
      <c r="G465" s="91">
        <f t="shared" si="202"/>
        <v>69.582855380470065</v>
      </c>
      <c r="H465" s="12">
        <f t="shared" si="215"/>
        <v>69.582855380470065</v>
      </c>
      <c r="I465" s="22">
        <v>1</v>
      </c>
      <c r="J465" s="11">
        <f t="shared" si="216"/>
        <v>55.666284304376049</v>
      </c>
      <c r="K465" s="10">
        <f t="shared" si="217"/>
        <v>70.8910130616229</v>
      </c>
      <c r="L465" s="12">
        <f t="shared" si="220"/>
        <v>70.8910130616229</v>
      </c>
      <c r="M465" s="11">
        <v>0</v>
      </c>
      <c r="N465" s="11">
        <f t="shared" si="218"/>
        <v>55.666284304376049</v>
      </c>
      <c r="O465" s="10">
        <f t="shared" si="219"/>
        <v>70.8910130616229</v>
      </c>
      <c r="P465" s="12">
        <f t="shared" si="209"/>
        <v>0</v>
      </c>
      <c r="Q465" s="148"/>
      <c r="R465" s="74"/>
      <c r="S465" s="47">
        <f>F465-'[1]CORREÇÃO DOS ITENS DIVERGENTES'!$P419</f>
        <v>0</v>
      </c>
      <c r="T465" s="12">
        <f t="shared" si="221"/>
        <v>69.582855380470065</v>
      </c>
      <c r="V465" s="41"/>
    </row>
    <row r="466" spans="1:22" ht="22.5" hidden="1">
      <c r="A466" s="118">
        <v>29016000</v>
      </c>
      <c r="B466" s="89" t="s">
        <v>609</v>
      </c>
      <c r="C466" s="89" t="s">
        <v>610</v>
      </c>
      <c r="D466" s="90" t="s">
        <v>580</v>
      </c>
      <c r="E466" s="91">
        <v>1</v>
      </c>
      <c r="F466" s="11">
        <f>VLOOKUP(A466,'[1]CORREÇÃO DOS ITENS DIVERGENTES'!$A$13:$G$490,7)</f>
        <v>55.666284304376049</v>
      </c>
      <c r="G466" s="91">
        <f t="shared" si="202"/>
        <v>69.582855380470065</v>
      </c>
      <c r="H466" s="12">
        <f t="shared" si="215"/>
        <v>69.582855380470065</v>
      </c>
      <c r="I466" s="22">
        <v>1</v>
      </c>
      <c r="J466" s="11">
        <f t="shared" si="216"/>
        <v>55.666284304376049</v>
      </c>
      <c r="K466" s="10">
        <f t="shared" si="217"/>
        <v>70.8910130616229</v>
      </c>
      <c r="L466" s="12">
        <f t="shared" si="220"/>
        <v>70.8910130616229</v>
      </c>
      <c r="M466" s="11">
        <v>0</v>
      </c>
      <c r="N466" s="11">
        <f t="shared" si="218"/>
        <v>55.666284304376049</v>
      </c>
      <c r="O466" s="10">
        <f t="shared" si="219"/>
        <v>70.8910130616229</v>
      </c>
      <c r="P466" s="12">
        <f t="shared" si="209"/>
        <v>0</v>
      </c>
      <c r="Q466" s="148"/>
      <c r="R466" s="74"/>
      <c r="S466" s="47">
        <f>F466-'[1]CORREÇÃO DOS ITENS DIVERGENTES'!$P420</f>
        <v>0</v>
      </c>
      <c r="T466" s="12">
        <f t="shared" si="221"/>
        <v>69.582855380470065</v>
      </c>
      <c r="V466" s="41"/>
    </row>
    <row r="467" spans="1:22" ht="22.5" hidden="1">
      <c r="A467" s="118">
        <v>29017000</v>
      </c>
      <c r="B467" s="89" t="s">
        <v>611</v>
      </c>
      <c r="C467" s="89" t="s">
        <v>612</v>
      </c>
      <c r="D467" s="90" t="s">
        <v>580</v>
      </c>
      <c r="E467" s="91">
        <v>1</v>
      </c>
      <c r="F467" s="11">
        <f>VLOOKUP(A467,'[1]CORREÇÃO DOS ITENS DIVERGENTES'!$A$13:$G$490,7)</f>
        <v>55.666284304376049</v>
      </c>
      <c r="G467" s="91">
        <f t="shared" ref="G467:G530" si="222">F467*1.25</f>
        <v>69.582855380470065</v>
      </c>
      <c r="H467" s="12">
        <f t="shared" si="215"/>
        <v>69.582855380470065</v>
      </c>
      <c r="I467" s="22">
        <v>1</v>
      </c>
      <c r="J467" s="11">
        <f t="shared" si="216"/>
        <v>55.666284304376049</v>
      </c>
      <c r="K467" s="10">
        <f t="shared" si="217"/>
        <v>70.8910130616229</v>
      </c>
      <c r="L467" s="12">
        <f t="shared" si="220"/>
        <v>70.8910130616229</v>
      </c>
      <c r="M467" s="11">
        <v>0</v>
      </c>
      <c r="N467" s="11">
        <f t="shared" si="218"/>
        <v>55.666284304376049</v>
      </c>
      <c r="O467" s="10">
        <f t="shared" si="219"/>
        <v>70.8910130616229</v>
      </c>
      <c r="P467" s="12">
        <f t="shared" si="209"/>
        <v>0</v>
      </c>
      <c r="Q467" s="148"/>
      <c r="R467" s="74"/>
      <c r="S467" s="47">
        <f>F467-'[1]CORREÇÃO DOS ITENS DIVERGENTES'!$P421</f>
        <v>0</v>
      </c>
      <c r="T467" s="12">
        <f t="shared" si="221"/>
        <v>69.582855380470065</v>
      </c>
      <c r="V467" s="41"/>
    </row>
    <row r="468" spans="1:22" ht="22.5" hidden="1">
      <c r="A468" s="118">
        <v>29018000</v>
      </c>
      <c r="B468" s="89" t="s">
        <v>613</v>
      </c>
      <c r="C468" s="89" t="s">
        <v>614</v>
      </c>
      <c r="D468" s="90" t="s">
        <v>580</v>
      </c>
      <c r="E468" s="91">
        <v>1</v>
      </c>
      <c r="F468" s="11">
        <f>VLOOKUP(A468,'[1]CORREÇÃO DOS ITENS DIVERGENTES'!$A$13:$G$490,7)</f>
        <v>55.666284304376049</v>
      </c>
      <c r="G468" s="91">
        <f t="shared" si="222"/>
        <v>69.582855380470065</v>
      </c>
      <c r="H468" s="12">
        <f t="shared" si="215"/>
        <v>69.582855380470065</v>
      </c>
      <c r="I468" s="22">
        <v>1</v>
      </c>
      <c r="J468" s="11">
        <f t="shared" si="216"/>
        <v>55.666284304376049</v>
      </c>
      <c r="K468" s="10">
        <f t="shared" si="217"/>
        <v>70.8910130616229</v>
      </c>
      <c r="L468" s="12">
        <f t="shared" si="220"/>
        <v>70.8910130616229</v>
      </c>
      <c r="M468" s="11">
        <v>0</v>
      </c>
      <c r="N468" s="11">
        <f t="shared" si="218"/>
        <v>55.666284304376049</v>
      </c>
      <c r="O468" s="10">
        <f t="shared" si="219"/>
        <v>70.8910130616229</v>
      </c>
      <c r="P468" s="12">
        <f t="shared" si="209"/>
        <v>0</v>
      </c>
      <c r="Q468" s="148"/>
      <c r="R468" s="74"/>
      <c r="S468" s="47">
        <f>F468-'[1]CORREÇÃO DOS ITENS DIVERGENTES'!$P422</f>
        <v>0</v>
      </c>
      <c r="T468" s="12">
        <f t="shared" si="221"/>
        <v>69.582855380470065</v>
      </c>
      <c r="V468" s="41"/>
    </row>
    <row r="469" spans="1:22" ht="22.5" hidden="1">
      <c r="A469" s="118">
        <v>29019000</v>
      </c>
      <c r="B469" s="89" t="s">
        <v>615</v>
      </c>
      <c r="C469" s="89" t="s">
        <v>606</v>
      </c>
      <c r="D469" s="90" t="s">
        <v>580</v>
      </c>
      <c r="E469" s="91">
        <v>1</v>
      </c>
      <c r="F469" s="11">
        <f>VLOOKUP(A469,'[1]CORREÇÃO DOS ITENS DIVERGENTES'!$A$13:$G$490,7)</f>
        <v>55.666284304376049</v>
      </c>
      <c r="G469" s="91">
        <f t="shared" si="222"/>
        <v>69.582855380470065</v>
      </c>
      <c r="H469" s="12">
        <f t="shared" si="215"/>
        <v>69.582855380470065</v>
      </c>
      <c r="I469" s="22">
        <v>1</v>
      </c>
      <c r="J469" s="11">
        <f t="shared" si="216"/>
        <v>55.666284304376049</v>
      </c>
      <c r="K469" s="10">
        <f t="shared" si="217"/>
        <v>70.8910130616229</v>
      </c>
      <c r="L469" s="12">
        <f t="shared" si="220"/>
        <v>70.8910130616229</v>
      </c>
      <c r="M469" s="11">
        <v>0</v>
      </c>
      <c r="N469" s="11">
        <f t="shared" si="218"/>
        <v>55.666284304376049</v>
      </c>
      <c r="O469" s="10">
        <f t="shared" si="219"/>
        <v>70.8910130616229</v>
      </c>
      <c r="P469" s="12">
        <f t="shared" si="209"/>
        <v>0</v>
      </c>
      <c r="Q469" s="148"/>
      <c r="R469" s="74"/>
      <c r="S469" s="47">
        <f>F469-'[1]CORREÇÃO DOS ITENS DIVERGENTES'!$P423</f>
        <v>0</v>
      </c>
      <c r="T469" s="12">
        <f t="shared" si="221"/>
        <v>69.582855380470065</v>
      </c>
      <c r="V469" s="41"/>
    </row>
    <row r="470" spans="1:22" ht="22.5" hidden="1">
      <c r="A470" s="118">
        <v>29020000</v>
      </c>
      <c r="B470" s="89" t="s">
        <v>616</v>
      </c>
      <c r="C470" s="89" t="s">
        <v>617</v>
      </c>
      <c r="D470" s="90" t="s">
        <v>580</v>
      </c>
      <c r="E470" s="91">
        <v>1</v>
      </c>
      <c r="F470" s="11">
        <f>VLOOKUP(A470,'[1]CORREÇÃO DOS ITENS DIVERGENTES'!$A$13:$G$490,7)</f>
        <v>108.88452933724035</v>
      </c>
      <c r="G470" s="91">
        <f t="shared" si="222"/>
        <v>136.10566167155045</v>
      </c>
      <c r="H470" s="12">
        <f t="shared" si="215"/>
        <v>136.10566167155045</v>
      </c>
      <c r="I470" s="22">
        <v>1</v>
      </c>
      <c r="J470" s="11">
        <f t="shared" si="216"/>
        <v>108.88452933724035</v>
      </c>
      <c r="K470" s="10">
        <f t="shared" si="217"/>
        <v>138.6644481109756</v>
      </c>
      <c r="L470" s="12">
        <f t="shared" si="220"/>
        <v>138.6644481109756</v>
      </c>
      <c r="M470" s="11">
        <v>0</v>
      </c>
      <c r="N470" s="11">
        <f t="shared" si="218"/>
        <v>108.88452933724035</v>
      </c>
      <c r="O470" s="10">
        <f t="shared" si="219"/>
        <v>138.6644481109756</v>
      </c>
      <c r="P470" s="12">
        <f t="shared" si="209"/>
        <v>0</v>
      </c>
      <c r="Q470" s="148"/>
      <c r="R470" s="74"/>
      <c r="S470" s="47">
        <f>F470-'[1]CORREÇÃO DOS ITENS DIVERGENTES'!$P424</f>
        <v>0</v>
      </c>
      <c r="T470" s="12">
        <f t="shared" si="221"/>
        <v>136.10566167155045</v>
      </c>
      <c r="V470" s="41"/>
    </row>
    <row r="471" spans="1:22" ht="22.5" hidden="1">
      <c r="A471" s="118">
        <v>29021000</v>
      </c>
      <c r="B471" s="89" t="s">
        <v>618</v>
      </c>
      <c r="C471" s="89" t="s">
        <v>619</v>
      </c>
      <c r="D471" s="90" t="s">
        <v>580</v>
      </c>
      <c r="E471" s="91">
        <v>1</v>
      </c>
      <c r="F471" s="11">
        <f>VLOOKUP(A471,'[1]CORREÇÃO DOS ITENS DIVERGENTES'!$A$13:$G$490,7)</f>
        <v>108.88452933724035</v>
      </c>
      <c r="G471" s="91">
        <f t="shared" si="222"/>
        <v>136.10566167155045</v>
      </c>
      <c r="H471" s="12">
        <f t="shared" si="215"/>
        <v>136.10566167155045</v>
      </c>
      <c r="I471" s="22">
        <v>1</v>
      </c>
      <c r="J471" s="11">
        <f t="shared" si="216"/>
        <v>108.88452933724035</v>
      </c>
      <c r="K471" s="10">
        <f t="shared" si="217"/>
        <v>138.6644481109756</v>
      </c>
      <c r="L471" s="12">
        <f t="shared" si="220"/>
        <v>138.6644481109756</v>
      </c>
      <c r="M471" s="11">
        <v>0</v>
      </c>
      <c r="N471" s="11">
        <f t="shared" si="218"/>
        <v>108.88452933724035</v>
      </c>
      <c r="O471" s="10">
        <f t="shared" si="219"/>
        <v>138.6644481109756</v>
      </c>
      <c r="P471" s="12">
        <f t="shared" si="209"/>
        <v>0</v>
      </c>
      <c r="Q471" s="148"/>
      <c r="R471" s="74"/>
      <c r="S471" s="47">
        <f>F471-'[1]CORREÇÃO DOS ITENS DIVERGENTES'!$P425</f>
        <v>0</v>
      </c>
      <c r="T471" s="12">
        <f t="shared" si="221"/>
        <v>136.10566167155045</v>
      </c>
      <c r="V471" s="41"/>
    </row>
    <row r="472" spans="1:22" ht="22.5" hidden="1">
      <c r="A472" s="118">
        <v>29022000</v>
      </c>
      <c r="B472" s="89" t="s">
        <v>620</v>
      </c>
      <c r="C472" s="89" t="s">
        <v>621</v>
      </c>
      <c r="D472" s="90" t="s">
        <v>580</v>
      </c>
      <c r="E472" s="91">
        <v>1</v>
      </c>
      <c r="F472" s="11">
        <f>VLOOKUP(A472,'[1]CORREÇÃO DOS ITENS DIVERGENTES'!$A$13:$G$490,7)</f>
        <v>108.88452933724035</v>
      </c>
      <c r="G472" s="91">
        <f t="shared" si="222"/>
        <v>136.10566167155045</v>
      </c>
      <c r="H472" s="12">
        <f t="shared" si="215"/>
        <v>136.10566167155045</v>
      </c>
      <c r="I472" s="22">
        <v>1</v>
      </c>
      <c r="J472" s="11">
        <f t="shared" si="216"/>
        <v>108.88452933724035</v>
      </c>
      <c r="K472" s="10">
        <f t="shared" si="217"/>
        <v>138.6644481109756</v>
      </c>
      <c r="L472" s="12">
        <f t="shared" si="220"/>
        <v>138.6644481109756</v>
      </c>
      <c r="M472" s="11">
        <v>0</v>
      </c>
      <c r="N472" s="11">
        <f t="shared" si="218"/>
        <v>108.88452933724035</v>
      </c>
      <c r="O472" s="10">
        <f t="shared" si="219"/>
        <v>138.6644481109756</v>
      </c>
      <c r="P472" s="12">
        <f t="shared" si="209"/>
        <v>0</v>
      </c>
      <c r="Q472" s="148"/>
      <c r="R472" s="74"/>
      <c r="S472" s="47">
        <f>F472-'[1]CORREÇÃO DOS ITENS DIVERGENTES'!$P426</f>
        <v>0</v>
      </c>
      <c r="T472" s="12">
        <f t="shared" si="221"/>
        <v>136.10566167155045</v>
      </c>
      <c r="V472" s="41"/>
    </row>
    <row r="473" spans="1:22" ht="22.5" hidden="1">
      <c r="A473" s="118">
        <v>29023000</v>
      </c>
      <c r="B473" s="89" t="s">
        <v>622</v>
      </c>
      <c r="C473" s="89" t="s">
        <v>623</v>
      </c>
      <c r="D473" s="90" t="s">
        <v>580</v>
      </c>
      <c r="E473" s="91">
        <v>1</v>
      </c>
      <c r="F473" s="11">
        <f>VLOOKUP(A473,'[1]CORREÇÃO DOS ITENS DIVERGENTES'!$A$13:$G$490,7)</f>
        <v>108.88452933724035</v>
      </c>
      <c r="G473" s="91">
        <f t="shared" si="222"/>
        <v>136.10566167155045</v>
      </c>
      <c r="H473" s="12">
        <f t="shared" si="215"/>
        <v>136.10566167155045</v>
      </c>
      <c r="I473" s="22">
        <v>1</v>
      </c>
      <c r="J473" s="11">
        <f t="shared" si="216"/>
        <v>108.88452933724035</v>
      </c>
      <c r="K473" s="10">
        <f t="shared" si="217"/>
        <v>138.6644481109756</v>
      </c>
      <c r="L473" s="12">
        <f t="shared" si="220"/>
        <v>138.6644481109756</v>
      </c>
      <c r="M473" s="11">
        <v>0</v>
      </c>
      <c r="N473" s="11">
        <f t="shared" si="218"/>
        <v>108.88452933724035</v>
      </c>
      <c r="O473" s="10">
        <f t="shared" si="219"/>
        <v>138.6644481109756</v>
      </c>
      <c r="P473" s="12">
        <f t="shared" si="209"/>
        <v>0</v>
      </c>
      <c r="Q473" s="148"/>
      <c r="R473" s="74"/>
      <c r="S473" s="47">
        <f>F473-'[1]CORREÇÃO DOS ITENS DIVERGENTES'!$P427</f>
        <v>0</v>
      </c>
      <c r="T473" s="12">
        <f t="shared" si="221"/>
        <v>136.10566167155045</v>
      </c>
      <c r="V473" s="41"/>
    </row>
    <row r="474" spans="1:22" ht="22.5" hidden="1">
      <c r="A474" s="118">
        <v>29024000</v>
      </c>
      <c r="B474" s="89" t="s">
        <v>624</v>
      </c>
      <c r="C474" s="89" t="s">
        <v>625</v>
      </c>
      <c r="D474" s="90" t="s">
        <v>580</v>
      </c>
      <c r="E474" s="91">
        <v>1</v>
      </c>
      <c r="F474" s="11">
        <f>VLOOKUP(A474,'[1]CORREÇÃO DOS ITENS DIVERGENTES'!$A$13:$G$490,7)</f>
        <v>108.88452933724035</v>
      </c>
      <c r="G474" s="91">
        <f t="shared" si="222"/>
        <v>136.10566167155045</v>
      </c>
      <c r="H474" s="12">
        <f t="shared" si="215"/>
        <v>136.10566167155045</v>
      </c>
      <c r="I474" s="22">
        <v>1</v>
      </c>
      <c r="J474" s="11">
        <f t="shared" si="216"/>
        <v>108.88452933724035</v>
      </c>
      <c r="K474" s="10">
        <f t="shared" si="217"/>
        <v>138.6644481109756</v>
      </c>
      <c r="L474" s="12">
        <f t="shared" si="220"/>
        <v>138.6644481109756</v>
      </c>
      <c r="M474" s="11">
        <v>0</v>
      </c>
      <c r="N474" s="11">
        <f t="shared" si="218"/>
        <v>108.88452933724035</v>
      </c>
      <c r="O474" s="10">
        <f t="shared" si="219"/>
        <v>138.6644481109756</v>
      </c>
      <c r="P474" s="12">
        <f t="shared" si="209"/>
        <v>0</v>
      </c>
      <c r="Q474" s="148"/>
      <c r="R474" s="74"/>
      <c r="S474" s="47">
        <f>F474-'[1]CORREÇÃO DOS ITENS DIVERGENTES'!$P428</f>
        <v>0</v>
      </c>
      <c r="T474" s="12">
        <f t="shared" si="221"/>
        <v>136.10566167155045</v>
      </c>
      <c r="V474" s="41"/>
    </row>
    <row r="475" spans="1:22" ht="22.5" hidden="1">
      <c r="A475" s="118">
        <v>29025000</v>
      </c>
      <c r="B475" s="89" t="s">
        <v>626</v>
      </c>
      <c r="C475" s="89" t="s">
        <v>627</v>
      </c>
      <c r="D475" s="90" t="s">
        <v>580</v>
      </c>
      <c r="E475" s="91">
        <v>1</v>
      </c>
      <c r="F475" s="11">
        <f>VLOOKUP(A475,'[1]CORREÇÃO DOS ITENS DIVERGENTES'!$A$13:$G$490,7)</f>
        <v>108.88452933724035</v>
      </c>
      <c r="G475" s="91">
        <f t="shared" si="222"/>
        <v>136.10566167155045</v>
      </c>
      <c r="H475" s="12">
        <f t="shared" si="215"/>
        <v>136.10566167155045</v>
      </c>
      <c r="I475" s="22">
        <v>1</v>
      </c>
      <c r="J475" s="11">
        <f t="shared" si="216"/>
        <v>108.88452933724035</v>
      </c>
      <c r="K475" s="10">
        <f t="shared" si="217"/>
        <v>138.6644481109756</v>
      </c>
      <c r="L475" s="12">
        <f t="shared" si="220"/>
        <v>138.6644481109756</v>
      </c>
      <c r="M475" s="11">
        <v>0</v>
      </c>
      <c r="N475" s="11">
        <f t="shared" si="218"/>
        <v>108.88452933724035</v>
      </c>
      <c r="O475" s="10">
        <f t="shared" si="219"/>
        <v>138.6644481109756</v>
      </c>
      <c r="P475" s="12">
        <f t="shared" si="209"/>
        <v>0</v>
      </c>
      <c r="Q475" s="148"/>
      <c r="R475" s="74"/>
      <c r="S475" s="47">
        <f>F475-'[1]CORREÇÃO DOS ITENS DIVERGENTES'!$P429</f>
        <v>0</v>
      </c>
      <c r="T475" s="12">
        <f t="shared" si="221"/>
        <v>136.10566167155045</v>
      </c>
      <c r="V475" s="41"/>
    </row>
    <row r="476" spans="1:22" ht="22.5" hidden="1">
      <c r="A476" s="118">
        <v>29026000</v>
      </c>
      <c r="B476" s="89" t="s">
        <v>628</v>
      </c>
      <c r="C476" s="89" t="s">
        <v>629</v>
      </c>
      <c r="D476" s="90" t="s">
        <v>580</v>
      </c>
      <c r="E476" s="91">
        <v>1</v>
      </c>
      <c r="F476" s="11">
        <f>VLOOKUP(A476,'[1]CORREÇÃO DOS ITENS DIVERGENTES'!$A$13:$G$490,7)</f>
        <v>108.88452933724035</v>
      </c>
      <c r="G476" s="91">
        <f t="shared" si="222"/>
        <v>136.10566167155045</v>
      </c>
      <c r="H476" s="12">
        <f t="shared" si="215"/>
        <v>136.10566167155045</v>
      </c>
      <c r="I476" s="22">
        <v>1</v>
      </c>
      <c r="J476" s="11">
        <f t="shared" si="216"/>
        <v>108.88452933724035</v>
      </c>
      <c r="K476" s="10">
        <f t="shared" si="217"/>
        <v>138.6644481109756</v>
      </c>
      <c r="L476" s="12">
        <f t="shared" si="220"/>
        <v>138.6644481109756</v>
      </c>
      <c r="M476" s="11">
        <v>0</v>
      </c>
      <c r="N476" s="11">
        <f t="shared" si="218"/>
        <v>108.88452933724035</v>
      </c>
      <c r="O476" s="10">
        <f t="shared" si="219"/>
        <v>138.6644481109756</v>
      </c>
      <c r="P476" s="12">
        <f t="shared" si="209"/>
        <v>0</v>
      </c>
      <c r="Q476" s="148"/>
      <c r="R476" s="74"/>
      <c r="S476" s="47">
        <f>F476-'[1]CORREÇÃO DOS ITENS DIVERGENTES'!$P430</f>
        <v>0</v>
      </c>
      <c r="T476" s="12">
        <f t="shared" si="221"/>
        <v>136.10566167155045</v>
      </c>
      <c r="V476" s="41"/>
    </row>
    <row r="477" spans="1:22" ht="22.5" hidden="1">
      <c r="A477" s="118">
        <v>29027000</v>
      </c>
      <c r="B477" s="89" t="s">
        <v>630</v>
      </c>
      <c r="C477" s="89" t="s">
        <v>631</v>
      </c>
      <c r="D477" s="90" t="s">
        <v>580</v>
      </c>
      <c r="E477" s="91">
        <v>1</v>
      </c>
      <c r="F477" s="11">
        <f>VLOOKUP(A477,'[1]CORREÇÃO DOS ITENS DIVERGENTES'!$A$13:$G$490,7)</f>
        <v>108.88452933724035</v>
      </c>
      <c r="G477" s="91">
        <f t="shared" si="222"/>
        <v>136.10566167155045</v>
      </c>
      <c r="H477" s="12">
        <f t="shared" si="215"/>
        <v>136.10566167155045</v>
      </c>
      <c r="I477" s="22">
        <v>1</v>
      </c>
      <c r="J477" s="11">
        <f t="shared" si="216"/>
        <v>108.88452933724035</v>
      </c>
      <c r="K477" s="10">
        <f t="shared" si="217"/>
        <v>138.6644481109756</v>
      </c>
      <c r="L477" s="12">
        <f t="shared" si="220"/>
        <v>138.6644481109756</v>
      </c>
      <c r="M477" s="11">
        <v>0</v>
      </c>
      <c r="N477" s="11">
        <f t="shared" si="218"/>
        <v>108.88452933724035</v>
      </c>
      <c r="O477" s="10">
        <f t="shared" si="219"/>
        <v>138.6644481109756</v>
      </c>
      <c r="P477" s="12">
        <f t="shared" si="209"/>
        <v>0</v>
      </c>
      <c r="Q477" s="148"/>
      <c r="R477" s="74"/>
      <c r="S477" s="47">
        <f>F477-'[1]CORREÇÃO DOS ITENS DIVERGENTES'!$P431</f>
        <v>0</v>
      </c>
      <c r="T477" s="12">
        <f t="shared" si="221"/>
        <v>136.10566167155045</v>
      </c>
      <c r="V477" s="41"/>
    </row>
    <row r="478" spans="1:22" ht="22.5" hidden="1">
      <c r="A478" s="118">
        <v>29028000</v>
      </c>
      <c r="B478" s="89" t="s">
        <v>632</v>
      </c>
      <c r="C478" s="89" t="s">
        <v>633</v>
      </c>
      <c r="D478" s="90" t="s">
        <v>580</v>
      </c>
      <c r="E478" s="91">
        <v>1</v>
      </c>
      <c r="F478" s="11">
        <f>VLOOKUP(A478,'[1]CORREÇÃO DOS ITENS DIVERGENTES'!$A$13:$G$490,7)</f>
        <v>55.666284304376049</v>
      </c>
      <c r="G478" s="91">
        <f t="shared" si="222"/>
        <v>69.582855380470065</v>
      </c>
      <c r="H478" s="12">
        <f t="shared" si="215"/>
        <v>69.582855380470065</v>
      </c>
      <c r="I478" s="22">
        <v>1</v>
      </c>
      <c r="J478" s="11">
        <f t="shared" si="216"/>
        <v>55.666284304376049</v>
      </c>
      <c r="K478" s="10">
        <f t="shared" si="217"/>
        <v>70.8910130616229</v>
      </c>
      <c r="L478" s="12">
        <f t="shared" si="220"/>
        <v>70.8910130616229</v>
      </c>
      <c r="M478" s="11">
        <v>0</v>
      </c>
      <c r="N478" s="11">
        <f t="shared" si="218"/>
        <v>55.666284304376049</v>
      </c>
      <c r="O478" s="10">
        <f t="shared" si="219"/>
        <v>70.8910130616229</v>
      </c>
      <c r="P478" s="12">
        <f t="shared" si="209"/>
        <v>0</v>
      </c>
      <c r="Q478" s="148"/>
      <c r="R478" s="74"/>
      <c r="S478" s="47">
        <f>F478-'[1]CORREÇÃO DOS ITENS DIVERGENTES'!$P432</f>
        <v>0</v>
      </c>
      <c r="T478" s="12">
        <f t="shared" si="221"/>
        <v>69.582855380470065</v>
      </c>
      <c r="V478" s="41"/>
    </row>
    <row r="479" spans="1:22" ht="22.5" hidden="1">
      <c r="A479" s="118">
        <v>29031000</v>
      </c>
      <c r="B479" s="89" t="s">
        <v>634</v>
      </c>
      <c r="C479" s="89" t="s">
        <v>635</v>
      </c>
      <c r="D479" s="90" t="s">
        <v>580</v>
      </c>
      <c r="E479" s="91">
        <v>4</v>
      </c>
      <c r="F479" s="11">
        <f>VLOOKUP(A479,'[1]CORREÇÃO DOS ITENS DIVERGENTES'!$A$13:$G$490,7)</f>
        <v>46.79657679889867</v>
      </c>
      <c r="G479" s="91">
        <f t="shared" si="222"/>
        <v>58.495720998623341</v>
      </c>
      <c r="H479" s="12">
        <f t="shared" si="215"/>
        <v>233.98288399449336</v>
      </c>
      <c r="I479" s="22">
        <v>4</v>
      </c>
      <c r="J479" s="11">
        <f t="shared" si="216"/>
        <v>46.79657679889867</v>
      </c>
      <c r="K479" s="10">
        <f t="shared" si="217"/>
        <v>59.595440553397459</v>
      </c>
      <c r="L479" s="12">
        <f t="shared" si="220"/>
        <v>238.38176221358984</v>
      </c>
      <c r="M479" s="11">
        <v>0</v>
      </c>
      <c r="N479" s="11">
        <f t="shared" si="218"/>
        <v>46.79657679889867</v>
      </c>
      <c r="O479" s="10">
        <f t="shared" si="219"/>
        <v>59.595440553397459</v>
      </c>
      <c r="P479" s="12">
        <f t="shared" si="209"/>
        <v>0</v>
      </c>
      <c r="Q479" s="148"/>
      <c r="R479" s="74"/>
      <c r="S479" s="47">
        <f>F479-'[1]CORREÇÃO DOS ITENS DIVERGENTES'!$P433</f>
        <v>0</v>
      </c>
      <c r="T479" s="12">
        <f t="shared" si="221"/>
        <v>233.98288399449336</v>
      </c>
      <c r="V479" s="41"/>
    </row>
    <row r="480" spans="1:22">
      <c r="A480" s="139">
        <v>28000000</v>
      </c>
      <c r="B480" s="139"/>
      <c r="C480" s="139" t="s">
        <v>526</v>
      </c>
      <c r="D480" s="139"/>
      <c r="E480" s="139"/>
      <c r="F480" s="139"/>
      <c r="G480" s="139"/>
      <c r="H480" s="140">
        <f>SUM(H481:H483)</f>
        <v>2246.5500000000002</v>
      </c>
      <c r="I480" s="13"/>
      <c r="J480" s="50"/>
      <c r="K480" s="13"/>
      <c r="L480" s="51"/>
      <c r="M480" s="50"/>
      <c r="N480" s="50"/>
      <c r="O480" s="13"/>
      <c r="P480" s="51"/>
      <c r="Q480" s="148"/>
      <c r="R480" s="74"/>
      <c r="S480" s="52"/>
      <c r="T480" s="140">
        <f>SUM(T481:T483)</f>
        <v>2808.1875</v>
      </c>
      <c r="V480" s="41"/>
    </row>
    <row r="481" spans="1:22">
      <c r="A481" s="118">
        <v>28004000</v>
      </c>
      <c r="B481" s="89">
        <v>20254</v>
      </c>
      <c r="C481" s="89" t="s">
        <v>358</v>
      </c>
      <c r="D481" s="90" t="s">
        <v>19</v>
      </c>
      <c r="E481" s="91">
        <v>13</v>
      </c>
      <c r="F481" s="35">
        <v>36.25</v>
      </c>
      <c r="G481" s="91">
        <f t="shared" si="222"/>
        <v>45.3125</v>
      </c>
      <c r="H481" s="12">
        <f t="shared" ref="H481:H483" si="223">E481*F481</f>
        <v>471.25</v>
      </c>
      <c r="I481" s="13"/>
      <c r="J481" s="50"/>
      <c r="K481" s="13"/>
      <c r="L481" s="51"/>
      <c r="M481" s="50"/>
      <c r="N481" s="50"/>
      <c r="O481" s="13"/>
      <c r="P481" s="51"/>
      <c r="Q481" s="148"/>
      <c r="R481" s="74"/>
      <c r="S481" s="52"/>
      <c r="T481" s="12">
        <f t="shared" si="221"/>
        <v>589.0625</v>
      </c>
      <c r="V481" s="41"/>
    </row>
    <row r="482" spans="1:22" ht="22.5">
      <c r="A482" s="118">
        <v>28020000</v>
      </c>
      <c r="B482" s="89" t="s">
        <v>636</v>
      </c>
      <c r="C482" s="89" t="s">
        <v>544</v>
      </c>
      <c r="D482" s="90" t="s">
        <v>19</v>
      </c>
      <c r="E482" s="91">
        <v>35</v>
      </c>
      <c r="F482" s="35">
        <v>43.3</v>
      </c>
      <c r="G482" s="91">
        <f t="shared" si="222"/>
        <v>54.125</v>
      </c>
      <c r="H482" s="12">
        <f t="shared" si="223"/>
        <v>1515.5</v>
      </c>
      <c r="I482" s="13"/>
      <c r="J482" s="50"/>
      <c r="K482" s="13"/>
      <c r="L482" s="51"/>
      <c r="M482" s="50"/>
      <c r="N482" s="50"/>
      <c r="O482" s="13"/>
      <c r="P482" s="51"/>
      <c r="Q482" s="148"/>
      <c r="R482" s="74"/>
      <c r="S482" s="52"/>
      <c r="T482" s="12">
        <f t="shared" si="221"/>
        <v>1894.375</v>
      </c>
      <c r="V482" s="41"/>
    </row>
    <row r="483" spans="1:22" ht="22.5">
      <c r="A483" s="118">
        <v>28021000</v>
      </c>
      <c r="B483" s="89" t="str">
        <f>B482</f>
        <v>CAB-TOM-010</v>
      </c>
      <c r="C483" s="89" t="s">
        <v>546</v>
      </c>
      <c r="D483" s="90" t="s">
        <v>19</v>
      </c>
      <c r="E483" s="91">
        <v>6</v>
      </c>
      <c r="F483" s="35">
        <f>F482</f>
        <v>43.3</v>
      </c>
      <c r="G483" s="91">
        <f t="shared" si="222"/>
        <v>54.125</v>
      </c>
      <c r="H483" s="12">
        <f t="shared" si="223"/>
        <v>259.79999999999995</v>
      </c>
      <c r="I483" s="13"/>
      <c r="J483" s="50"/>
      <c r="K483" s="13"/>
      <c r="L483" s="51"/>
      <c r="M483" s="50"/>
      <c r="N483" s="50"/>
      <c r="O483" s="13"/>
      <c r="P483" s="51"/>
      <c r="Q483" s="148"/>
      <c r="R483" s="74"/>
      <c r="S483" s="52"/>
      <c r="T483" s="12">
        <f t="shared" si="221"/>
        <v>324.75</v>
      </c>
      <c r="V483" s="41"/>
    </row>
    <row r="484" spans="1:22">
      <c r="A484" s="139">
        <v>29000000</v>
      </c>
      <c r="B484" s="139"/>
      <c r="C484" s="139" t="s">
        <v>577</v>
      </c>
      <c r="D484" s="139"/>
      <c r="E484" s="139"/>
      <c r="F484" s="139"/>
      <c r="G484" s="139"/>
      <c r="H484" s="140">
        <f>SUM(H485:H500)</f>
        <v>890.6605488700169</v>
      </c>
      <c r="I484" s="13"/>
      <c r="J484" s="50"/>
      <c r="K484" s="13"/>
      <c r="L484" s="51"/>
      <c r="M484" s="50"/>
      <c r="N484" s="50"/>
      <c r="O484" s="13"/>
      <c r="P484" s="51"/>
      <c r="Q484" s="148"/>
      <c r="R484" s="74"/>
      <c r="S484" s="52"/>
      <c r="T484" s="140">
        <f>SUM(T485:T500)</f>
        <v>1113.325686087521</v>
      </c>
      <c r="V484" s="41"/>
    </row>
    <row r="485" spans="1:22" ht="22.5">
      <c r="A485" s="118">
        <v>29004000</v>
      </c>
      <c r="B485" s="89" t="s">
        <v>585</v>
      </c>
      <c r="C485" s="89" t="s">
        <v>586</v>
      </c>
      <c r="D485" s="90" t="s">
        <v>580</v>
      </c>
      <c r="E485" s="91">
        <v>1</v>
      </c>
      <c r="F485" s="35">
        <f>VLOOKUP(A485,'[1]CORREÇÃO DOS ITENS DIVERGENTES'!$A$13:$G$490,7)</f>
        <v>55.666284304376049</v>
      </c>
      <c r="G485" s="91">
        <f t="shared" si="222"/>
        <v>69.582855380470065</v>
      </c>
      <c r="H485" s="12">
        <f t="shared" ref="H485:H500" si="224">E485*F485</f>
        <v>55.666284304376049</v>
      </c>
      <c r="I485" s="13"/>
      <c r="J485" s="50"/>
      <c r="K485" s="13"/>
      <c r="L485" s="51"/>
      <c r="M485" s="50"/>
      <c r="N485" s="50"/>
      <c r="O485" s="13"/>
      <c r="P485" s="51"/>
      <c r="Q485" s="148"/>
      <c r="R485" s="74"/>
      <c r="S485" s="52"/>
      <c r="T485" s="12">
        <f t="shared" si="221"/>
        <v>69.582855380470065</v>
      </c>
      <c r="V485" s="41"/>
    </row>
    <row r="486" spans="1:22" ht="22.5">
      <c r="A486" s="118">
        <v>29005000</v>
      </c>
      <c r="B486" s="89" t="s">
        <v>587</v>
      </c>
      <c r="C486" s="89" t="s">
        <v>588</v>
      </c>
      <c r="D486" s="90" t="s">
        <v>580</v>
      </c>
      <c r="E486" s="91">
        <v>1</v>
      </c>
      <c r="F486" s="35">
        <f>VLOOKUP(A486,'[1]CORREÇÃO DOS ITENS DIVERGENTES'!$A$13:$G$490,7)</f>
        <v>55.666284304376049</v>
      </c>
      <c r="G486" s="91">
        <f t="shared" si="222"/>
        <v>69.582855380470065</v>
      </c>
      <c r="H486" s="12">
        <f t="shared" si="224"/>
        <v>55.666284304376049</v>
      </c>
      <c r="I486" s="13"/>
      <c r="J486" s="50"/>
      <c r="K486" s="13"/>
      <c r="L486" s="51"/>
      <c r="M486" s="50"/>
      <c r="N486" s="50"/>
      <c r="O486" s="13"/>
      <c r="P486" s="51"/>
      <c r="Q486" s="148"/>
      <c r="R486" s="74"/>
      <c r="S486" s="52"/>
      <c r="T486" s="12">
        <f t="shared" si="221"/>
        <v>69.582855380470065</v>
      </c>
      <c r="V486" s="41"/>
    </row>
    <row r="487" spans="1:22" ht="22.5">
      <c r="A487" s="118">
        <v>29006000</v>
      </c>
      <c r="B487" s="89" t="s">
        <v>589</v>
      </c>
      <c r="C487" s="89" t="s">
        <v>590</v>
      </c>
      <c r="D487" s="90" t="s">
        <v>580</v>
      </c>
      <c r="E487" s="91">
        <v>1</v>
      </c>
      <c r="F487" s="35">
        <f>VLOOKUP(A487,'[1]CORREÇÃO DOS ITENS DIVERGENTES'!$A$13:$G$490,7)</f>
        <v>55.666284304376049</v>
      </c>
      <c r="G487" s="91">
        <f t="shared" si="222"/>
        <v>69.582855380470065</v>
      </c>
      <c r="H487" s="12">
        <f t="shared" si="224"/>
        <v>55.666284304376049</v>
      </c>
      <c r="I487" s="13"/>
      <c r="J487" s="50"/>
      <c r="K487" s="13"/>
      <c r="L487" s="51"/>
      <c r="M487" s="50"/>
      <c r="N487" s="50"/>
      <c r="O487" s="13"/>
      <c r="P487" s="51"/>
      <c r="Q487" s="148"/>
      <c r="R487" s="74"/>
      <c r="S487" s="52"/>
      <c r="T487" s="12">
        <f t="shared" si="221"/>
        <v>69.582855380470065</v>
      </c>
      <c r="V487" s="41"/>
    </row>
    <row r="488" spans="1:22" ht="22.5">
      <c r="A488" s="118">
        <v>29007000</v>
      </c>
      <c r="B488" s="89" t="s">
        <v>591</v>
      </c>
      <c r="C488" s="89" t="s">
        <v>592</v>
      </c>
      <c r="D488" s="90" t="s">
        <v>580</v>
      </c>
      <c r="E488" s="91">
        <v>1</v>
      </c>
      <c r="F488" s="35">
        <f>VLOOKUP(A488,'[1]CORREÇÃO DOS ITENS DIVERGENTES'!$A$13:$G$490,7)</f>
        <v>55.666284304376049</v>
      </c>
      <c r="G488" s="91">
        <f t="shared" si="222"/>
        <v>69.582855380470065</v>
      </c>
      <c r="H488" s="12">
        <f t="shared" si="224"/>
        <v>55.666284304376049</v>
      </c>
      <c r="I488" s="13"/>
      <c r="J488" s="50"/>
      <c r="K488" s="13"/>
      <c r="L488" s="51"/>
      <c r="M488" s="50"/>
      <c r="N488" s="50"/>
      <c r="O488" s="13"/>
      <c r="P488" s="51"/>
      <c r="Q488" s="148"/>
      <c r="R488" s="74"/>
      <c r="S488" s="52"/>
      <c r="T488" s="12">
        <f t="shared" si="221"/>
        <v>69.582855380470065</v>
      </c>
      <c r="V488" s="41"/>
    </row>
    <row r="489" spans="1:22" ht="22.5">
      <c r="A489" s="118">
        <v>29008000</v>
      </c>
      <c r="B489" s="89" t="s">
        <v>593</v>
      </c>
      <c r="C489" s="89" t="s">
        <v>594</v>
      </c>
      <c r="D489" s="90" t="s">
        <v>580</v>
      </c>
      <c r="E489" s="91">
        <v>1</v>
      </c>
      <c r="F489" s="35">
        <f>VLOOKUP(A489,'[1]CORREÇÃO DOS ITENS DIVERGENTES'!$A$13:$G$490,7)</f>
        <v>55.666284304376049</v>
      </c>
      <c r="G489" s="91">
        <f t="shared" si="222"/>
        <v>69.582855380470065</v>
      </c>
      <c r="H489" s="12">
        <f t="shared" si="224"/>
        <v>55.666284304376049</v>
      </c>
      <c r="I489" s="13"/>
      <c r="J489" s="50"/>
      <c r="K489" s="13"/>
      <c r="L489" s="51"/>
      <c r="M489" s="50"/>
      <c r="N489" s="50"/>
      <c r="O489" s="13"/>
      <c r="P489" s="51"/>
      <c r="Q489" s="148"/>
      <c r="R489" s="74"/>
      <c r="S489" s="52"/>
      <c r="T489" s="12">
        <f t="shared" si="221"/>
        <v>69.582855380470065</v>
      </c>
      <c r="V489" s="41"/>
    </row>
    <row r="490" spans="1:22" ht="22.5">
      <c r="A490" s="118">
        <v>29009000</v>
      </c>
      <c r="B490" s="89" t="s">
        <v>595</v>
      </c>
      <c r="C490" s="89" t="s">
        <v>596</v>
      </c>
      <c r="D490" s="90" t="s">
        <v>580</v>
      </c>
      <c r="E490" s="91">
        <v>1</v>
      </c>
      <c r="F490" s="35">
        <f>VLOOKUP(A490,'[1]CORREÇÃO DOS ITENS DIVERGENTES'!$A$13:$G$490,7)</f>
        <v>55.666284304376049</v>
      </c>
      <c r="G490" s="91">
        <f t="shared" si="222"/>
        <v>69.582855380470065</v>
      </c>
      <c r="H490" s="12">
        <f t="shared" si="224"/>
        <v>55.666284304376049</v>
      </c>
      <c r="I490" s="13"/>
      <c r="J490" s="50"/>
      <c r="K490" s="13"/>
      <c r="L490" s="51"/>
      <c r="M490" s="50"/>
      <c r="N490" s="50"/>
      <c r="O490" s="13"/>
      <c r="P490" s="51"/>
      <c r="Q490" s="148"/>
      <c r="R490" s="74"/>
      <c r="S490" s="52"/>
      <c r="T490" s="12">
        <f t="shared" si="221"/>
        <v>69.582855380470065</v>
      </c>
      <c r="V490" s="41"/>
    </row>
    <row r="491" spans="1:22" ht="22.5">
      <c r="A491" s="118">
        <v>29010000</v>
      </c>
      <c r="B491" s="89" t="s">
        <v>597</v>
      </c>
      <c r="C491" s="89" t="s">
        <v>598</v>
      </c>
      <c r="D491" s="90" t="s">
        <v>580</v>
      </c>
      <c r="E491" s="91">
        <v>1</v>
      </c>
      <c r="F491" s="35">
        <f>VLOOKUP(A491,'[1]CORREÇÃO DOS ITENS DIVERGENTES'!$A$13:$G$490,7)</f>
        <v>55.666284304376049</v>
      </c>
      <c r="G491" s="91">
        <f t="shared" si="222"/>
        <v>69.582855380470065</v>
      </c>
      <c r="H491" s="12">
        <f t="shared" si="224"/>
        <v>55.666284304376049</v>
      </c>
      <c r="I491" s="13"/>
      <c r="J491" s="50"/>
      <c r="K491" s="13"/>
      <c r="L491" s="51"/>
      <c r="M491" s="50"/>
      <c r="N491" s="50"/>
      <c r="O491" s="13"/>
      <c r="P491" s="51"/>
      <c r="Q491" s="148"/>
      <c r="R491" s="74"/>
      <c r="S491" s="52"/>
      <c r="T491" s="12">
        <f t="shared" si="221"/>
        <v>69.582855380470065</v>
      </c>
      <c r="V491" s="41"/>
    </row>
    <row r="492" spans="1:22" ht="22.5">
      <c r="A492" s="118">
        <v>29011000</v>
      </c>
      <c r="B492" s="89" t="s">
        <v>599</v>
      </c>
      <c r="C492" s="89" t="s">
        <v>600</v>
      </c>
      <c r="D492" s="90" t="s">
        <v>580</v>
      </c>
      <c r="E492" s="91">
        <v>1</v>
      </c>
      <c r="F492" s="35">
        <f>VLOOKUP(A492,'[1]CORREÇÃO DOS ITENS DIVERGENTES'!$A$13:$G$490,7)</f>
        <v>55.666284304376049</v>
      </c>
      <c r="G492" s="91">
        <f t="shared" si="222"/>
        <v>69.582855380470065</v>
      </c>
      <c r="H492" s="12">
        <f t="shared" si="224"/>
        <v>55.666284304376049</v>
      </c>
      <c r="I492" s="13"/>
      <c r="J492" s="50"/>
      <c r="K492" s="13"/>
      <c r="L492" s="51"/>
      <c r="M492" s="50"/>
      <c r="N492" s="50"/>
      <c r="O492" s="13"/>
      <c r="P492" s="51"/>
      <c r="Q492" s="148"/>
      <c r="R492" s="74"/>
      <c r="S492" s="52"/>
      <c r="T492" s="12">
        <f t="shared" si="221"/>
        <v>69.582855380470065</v>
      </c>
      <c r="V492" s="41"/>
    </row>
    <row r="493" spans="1:22" ht="22.5">
      <c r="A493" s="118">
        <v>29012000</v>
      </c>
      <c r="B493" s="89" t="s">
        <v>601</v>
      </c>
      <c r="C493" s="89" t="s">
        <v>602</v>
      </c>
      <c r="D493" s="90" t="s">
        <v>580</v>
      </c>
      <c r="E493" s="91">
        <v>1</v>
      </c>
      <c r="F493" s="35">
        <f>VLOOKUP(A493,'[1]CORREÇÃO DOS ITENS DIVERGENTES'!$A$13:$G$490,7)</f>
        <v>55.666284304376049</v>
      </c>
      <c r="G493" s="91">
        <f t="shared" si="222"/>
        <v>69.582855380470065</v>
      </c>
      <c r="H493" s="12">
        <f t="shared" si="224"/>
        <v>55.666284304376049</v>
      </c>
      <c r="I493" s="13"/>
      <c r="J493" s="50"/>
      <c r="K493" s="13"/>
      <c r="L493" s="51"/>
      <c r="M493" s="50"/>
      <c r="N493" s="50"/>
      <c r="O493" s="13"/>
      <c r="P493" s="51"/>
      <c r="Q493" s="148"/>
      <c r="R493" s="74"/>
      <c r="S493" s="52"/>
      <c r="T493" s="12">
        <f t="shared" si="221"/>
        <v>69.582855380470065</v>
      </c>
      <c r="V493" s="41"/>
    </row>
    <row r="494" spans="1:22" ht="22.5">
      <c r="A494" s="118">
        <v>29013000</v>
      </c>
      <c r="B494" s="89" t="s">
        <v>603</v>
      </c>
      <c r="C494" s="89" t="s">
        <v>604</v>
      </c>
      <c r="D494" s="90" t="s">
        <v>580</v>
      </c>
      <c r="E494" s="91">
        <v>1</v>
      </c>
      <c r="F494" s="35">
        <f>VLOOKUP(A494,'[1]CORREÇÃO DOS ITENS DIVERGENTES'!$A$13:$G$490,7)</f>
        <v>55.666284304376049</v>
      </c>
      <c r="G494" s="91">
        <f t="shared" si="222"/>
        <v>69.582855380470065</v>
      </c>
      <c r="H494" s="12">
        <f t="shared" si="224"/>
        <v>55.666284304376049</v>
      </c>
      <c r="I494" s="13"/>
      <c r="J494" s="50"/>
      <c r="K494" s="13"/>
      <c r="L494" s="51"/>
      <c r="M494" s="50"/>
      <c r="N494" s="50"/>
      <c r="O494" s="13"/>
      <c r="P494" s="51"/>
      <c r="Q494" s="148"/>
      <c r="R494" s="74"/>
      <c r="S494" s="52"/>
      <c r="T494" s="12">
        <f t="shared" si="221"/>
        <v>69.582855380470065</v>
      </c>
      <c r="V494" s="41"/>
    </row>
    <row r="495" spans="1:22" ht="22.5">
      <c r="A495" s="118">
        <v>29014000</v>
      </c>
      <c r="B495" s="89" t="s">
        <v>605</v>
      </c>
      <c r="C495" s="89" t="s">
        <v>606</v>
      </c>
      <c r="D495" s="90" t="s">
        <v>580</v>
      </c>
      <c r="E495" s="91">
        <v>1</v>
      </c>
      <c r="F495" s="35">
        <f>VLOOKUP(A495,'[1]CORREÇÃO DOS ITENS DIVERGENTES'!$A$13:$G$490,7)</f>
        <v>55.666284304376049</v>
      </c>
      <c r="G495" s="91">
        <f t="shared" si="222"/>
        <v>69.582855380470065</v>
      </c>
      <c r="H495" s="12">
        <f t="shared" si="224"/>
        <v>55.666284304376049</v>
      </c>
      <c r="I495" s="13"/>
      <c r="J495" s="50"/>
      <c r="K495" s="13"/>
      <c r="L495" s="51"/>
      <c r="M495" s="50"/>
      <c r="N495" s="50"/>
      <c r="O495" s="13"/>
      <c r="P495" s="51"/>
      <c r="Q495" s="148"/>
      <c r="R495" s="74"/>
      <c r="S495" s="52"/>
      <c r="T495" s="12">
        <f t="shared" si="221"/>
        <v>69.582855380470065</v>
      </c>
      <c r="V495" s="41"/>
    </row>
    <row r="496" spans="1:22" ht="22.5">
      <c r="A496" s="118">
        <v>29015000</v>
      </c>
      <c r="B496" s="89" t="s">
        <v>607</v>
      </c>
      <c r="C496" s="89" t="s">
        <v>608</v>
      </c>
      <c r="D496" s="90" t="s">
        <v>580</v>
      </c>
      <c r="E496" s="91">
        <v>1</v>
      </c>
      <c r="F496" s="35">
        <f>VLOOKUP(A496,'[1]CORREÇÃO DOS ITENS DIVERGENTES'!$A$13:$G$490,7)</f>
        <v>55.666284304376049</v>
      </c>
      <c r="G496" s="91">
        <f t="shared" si="222"/>
        <v>69.582855380470065</v>
      </c>
      <c r="H496" s="12">
        <f t="shared" si="224"/>
        <v>55.666284304376049</v>
      </c>
      <c r="I496" s="13"/>
      <c r="J496" s="50"/>
      <c r="K496" s="13"/>
      <c r="L496" s="51"/>
      <c r="M496" s="50"/>
      <c r="N496" s="50"/>
      <c r="O496" s="13"/>
      <c r="P496" s="51"/>
      <c r="Q496" s="148"/>
      <c r="R496" s="74"/>
      <c r="S496" s="52"/>
      <c r="T496" s="12">
        <f t="shared" si="221"/>
        <v>69.582855380470065</v>
      </c>
      <c r="V496" s="41"/>
    </row>
    <row r="497" spans="1:22" ht="22.5">
      <c r="A497" s="118">
        <v>29016000</v>
      </c>
      <c r="B497" s="89" t="s">
        <v>609</v>
      </c>
      <c r="C497" s="89" t="s">
        <v>610</v>
      </c>
      <c r="D497" s="90" t="s">
        <v>580</v>
      </c>
      <c r="E497" s="91">
        <v>1</v>
      </c>
      <c r="F497" s="35">
        <f>VLOOKUP(A497,'[1]CORREÇÃO DOS ITENS DIVERGENTES'!$A$13:$G$490,7)</f>
        <v>55.666284304376049</v>
      </c>
      <c r="G497" s="91">
        <f t="shared" si="222"/>
        <v>69.582855380470065</v>
      </c>
      <c r="H497" s="12">
        <f t="shared" si="224"/>
        <v>55.666284304376049</v>
      </c>
      <c r="I497" s="13"/>
      <c r="J497" s="50"/>
      <c r="K497" s="13"/>
      <c r="L497" s="51"/>
      <c r="M497" s="50"/>
      <c r="N497" s="50"/>
      <c r="O497" s="13"/>
      <c r="P497" s="51"/>
      <c r="Q497" s="148"/>
      <c r="R497" s="74"/>
      <c r="S497" s="52"/>
      <c r="T497" s="12">
        <f t="shared" si="221"/>
        <v>69.582855380470065</v>
      </c>
      <c r="V497" s="41"/>
    </row>
    <row r="498" spans="1:22" ht="22.5">
      <c r="A498" s="118">
        <v>29017000</v>
      </c>
      <c r="B498" s="89" t="s">
        <v>611</v>
      </c>
      <c r="C498" s="89" t="s">
        <v>612</v>
      </c>
      <c r="D498" s="90" t="s">
        <v>580</v>
      </c>
      <c r="E498" s="91">
        <v>1</v>
      </c>
      <c r="F498" s="35">
        <f>VLOOKUP(A498,'[1]CORREÇÃO DOS ITENS DIVERGENTES'!$A$13:$G$490,7)</f>
        <v>55.666284304376049</v>
      </c>
      <c r="G498" s="91">
        <f t="shared" si="222"/>
        <v>69.582855380470065</v>
      </c>
      <c r="H498" s="12">
        <f t="shared" si="224"/>
        <v>55.666284304376049</v>
      </c>
      <c r="I498" s="13"/>
      <c r="J498" s="50"/>
      <c r="K498" s="13"/>
      <c r="L498" s="51"/>
      <c r="M498" s="50"/>
      <c r="N498" s="50"/>
      <c r="O498" s="13"/>
      <c r="P498" s="51"/>
      <c r="Q498" s="148"/>
      <c r="R498" s="74"/>
      <c r="S498" s="52"/>
      <c r="T498" s="12">
        <f t="shared" si="221"/>
        <v>69.582855380470065</v>
      </c>
      <c r="V498" s="41"/>
    </row>
    <row r="499" spans="1:22" ht="22.5">
      <c r="A499" s="118">
        <v>29018000</v>
      </c>
      <c r="B499" s="89" t="s">
        <v>613</v>
      </c>
      <c r="C499" s="89" t="s">
        <v>614</v>
      </c>
      <c r="D499" s="90" t="s">
        <v>580</v>
      </c>
      <c r="E499" s="91">
        <v>1</v>
      </c>
      <c r="F499" s="35">
        <f>VLOOKUP(A499,'[1]CORREÇÃO DOS ITENS DIVERGENTES'!$A$13:$G$490,7)</f>
        <v>55.666284304376049</v>
      </c>
      <c r="G499" s="91">
        <f t="shared" si="222"/>
        <v>69.582855380470065</v>
      </c>
      <c r="H499" s="12">
        <f t="shared" si="224"/>
        <v>55.666284304376049</v>
      </c>
      <c r="I499" s="13"/>
      <c r="J499" s="50"/>
      <c r="K499" s="13"/>
      <c r="L499" s="51"/>
      <c r="M499" s="50"/>
      <c r="N499" s="50"/>
      <c r="O499" s="13"/>
      <c r="P499" s="51"/>
      <c r="Q499" s="148"/>
      <c r="R499" s="74"/>
      <c r="S499" s="52"/>
      <c r="T499" s="12">
        <f t="shared" si="221"/>
        <v>69.582855380470065</v>
      </c>
      <c r="V499" s="41"/>
    </row>
    <row r="500" spans="1:22" ht="22.5">
      <c r="A500" s="118">
        <v>29019000</v>
      </c>
      <c r="B500" s="89" t="s">
        <v>615</v>
      </c>
      <c r="C500" s="89" t="s">
        <v>606</v>
      </c>
      <c r="D500" s="90" t="s">
        <v>580</v>
      </c>
      <c r="E500" s="91">
        <v>1</v>
      </c>
      <c r="F500" s="35">
        <f>VLOOKUP(A500,'[1]CORREÇÃO DOS ITENS DIVERGENTES'!$A$13:$G$490,7)</f>
        <v>55.666284304376049</v>
      </c>
      <c r="G500" s="91">
        <f t="shared" si="222"/>
        <v>69.582855380470065</v>
      </c>
      <c r="H500" s="12">
        <f t="shared" si="224"/>
        <v>55.666284304376049</v>
      </c>
      <c r="I500" s="13"/>
      <c r="J500" s="50"/>
      <c r="K500" s="13"/>
      <c r="L500" s="51"/>
      <c r="M500" s="50"/>
      <c r="N500" s="50"/>
      <c r="O500" s="13"/>
      <c r="P500" s="51"/>
      <c r="Q500" s="148"/>
      <c r="R500" s="74"/>
      <c r="S500" s="52"/>
      <c r="T500" s="12">
        <f t="shared" si="221"/>
        <v>69.582855380470065</v>
      </c>
      <c r="V500" s="41"/>
    </row>
    <row r="501" spans="1:22" s="8" customFormat="1" ht="14.25" customHeight="1">
      <c r="A501" s="139">
        <v>30000000</v>
      </c>
      <c r="B501" s="139"/>
      <c r="C501" s="139" t="s">
        <v>637</v>
      </c>
      <c r="D501" s="139"/>
      <c r="E501" s="139"/>
      <c r="F501" s="139"/>
      <c r="G501" s="139"/>
      <c r="H501" s="140">
        <f>H507+H517+H518+H519+H521</f>
        <v>17120.422500000001</v>
      </c>
      <c r="I501" s="27"/>
      <c r="J501" s="27"/>
      <c r="K501" s="27"/>
      <c r="L501" s="26">
        <f>SUM(L502:L524)</f>
        <v>49317.307162336852</v>
      </c>
      <c r="M501" s="27"/>
      <c r="N501" s="27"/>
      <c r="O501" s="27"/>
      <c r="P501" s="26">
        <f>SUM(P502:P524)</f>
        <v>-1319.7521007160449</v>
      </c>
      <c r="Q501" s="160">
        <f t="shared" si="214"/>
        <v>47997.555061620806</v>
      </c>
      <c r="R501" s="159"/>
      <c r="S501" s="159"/>
      <c r="T501" s="140">
        <f>T507+T517+T518+T519+T521</f>
        <v>21400.528125000001</v>
      </c>
      <c r="V501" s="42"/>
    </row>
    <row r="502" spans="1:22" ht="40.5" hidden="1" customHeight="1">
      <c r="A502" s="118">
        <v>30001000</v>
      </c>
      <c r="B502" s="89" t="s">
        <v>638</v>
      </c>
      <c r="C502" s="89" t="s">
        <v>639</v>
      </c>
      <c r="D502" s="90" t="s">
        <v>640</v>
      </c>
      <c r="E502" s="91">
        <v>1</v>
      </c>
      <c r="F502" s="11">
        <f>VLOOKUP(A502,'[1]CORREÇÃO DOS ITENS DIVERGENTES'!$A$13:$G$490,7)</f>
        <v>4765.0907025826245</v>
      </c>
      <c r="G502" s="91">
        <f t="shared" si="222"/>
        <v>5956.3633782282805</v>
      </c>
      <c r="H502" s="12">
        <f>E502*G502</f>
        <v>5956.3633782282805</v>
      </c>
      <c r="I502" s="22">
        <v>1</v>
      </c>
      <c r="J502" s="11">
        <f>F502</f>
        <v>4765.0907025826245</v>
      </c>
      <c r="K502" s="10">
        <f t="shared" ref="K502:K524" si="225">J502*1.2735</f>
        <v>6068.3430097389728</v>
      </c>
      <c r="L502" s="12">
        <f>I502*K502</f>
        <v>6068.3430097389728</v>
      </c>
      <c r="M502" s="11">
        <v>0</v>
      </c>
      <c r="N502" s="11">
        <f t="shared" ref="N502:N524" si="226">J502</f>
        <v>4765.0907025826245</v>
      </c>
      <c r="O502" s="10">
        <f t="shared" ref="O502:O538" si="227">N502*1.2735</f>
        <v>6068.3430097389728</v>
      </c>
      <c r="P502" s="12">
        <f t="shared" si="209"/>
        <v>0</v>
      </c>
      <c r="Q502" s="148"/>
      <c r="R502" s="74"/>
      <c r="S502" s="47">
        <f>F502-'[1]CORREÇÃO DOS ITENS DIVERGENTES'!$P435</f>
        <v>0</v>
      </c>
      <c r="T502" s="12">
        <f t="shared" si="221"/>
        <v>5956.3633782282805</v>
      </c>
      <c r="V502" s="41"/>
    </row>
    <row r="503" spans="1:22" ht="45" hidden="1">
      <c r="A503" s="118">
        <v>30002000</v>
      </c>
      <c r="B503" s="89" t="s">
        <v>641</v>
      </c>
      <c r="C503" s="89" t="s">
        <v>642</v>
      </c>
      <c r="D503" s="90" t="s">
        <v>640</v>
      </c>
      <c r="E503" s="91">
        <v>1</v>
      </c>
      <c r="F503" s="11">
        <f>VLOOKUP(A503,'[1]CORREÇÃO DOS ITENS DIVERGENTES'!$A$13:$G$490,7)</f>
        <v>601.26860208880623</v>
      </c>
      <c r="G503" s="91">
        <f t="shared" si="222"/>
        <v>751.58575261100782</v>
      </c>
      <c r="H503" s="12">
        <f>E503*G503</f>
        <v>751.58575261100782</v>
      </c>
      <c r="I503" s="22">
        <v>1</v>
      </c>
      <c r="J503" s="11">
        <f>F503</f>
        <v>601.26860208880623</v>
      </c>
      <c r="K503" s="10">
        <f t="shared" si="225"/>
        <v>765.71556476009482</v>
      </c>
      <c r="L503" s="12">
        <f t="shared" ref="L503:L524" si="228">I503*K503</f>
        <v>765.71556476009482</v>
      </c>
      <c r="M503" s="11">
        <v>0</v>
      </c>
      <c r="N503" s="11">
        <f t="shared" si="226"/>
        <v>601.26860208880623</v>
      </c>
      <c r="O503" s="10">
        <f t="shared" si="227"/>
        <v>765.71556476009482</v>
      </c>
      <c r="P503" s="12">
        <f t="shared" si="209"/>
        <v>0</v>
      </c>
      <c r="Q503" s="148"/>
      <c r="R503" s="74"/>
      <c r="S503" s="47">
        <f>F503-'[1]CORREÇÃO DOS ITENS DIVERGENTES'!$P436</f>
        <v>0</v>
      </c>
      <c r="T503" s="12">
        <f t="shared" si="221"/>
        <v>751.58575261100782</v>
      </c>
      <c r="V503" s="41"/>
    </row>
    <row r="504" spans="1:22" ht="33.75" hidden="1">
      <c r="A504" s="118">
        <v>30003000</v>
      </c>
      <c r="B504" s="89" t="s">
        <v>643</v>
      </c>
      <c r="C504" s="89" t="s">
        <v>644</v>
      </c>
      <c r="D504" s="90" t="s">
        <v>640</v>
      </c>
      <c r="E504" s="91">
        <v>1</v>
      </c>
      <c r="F504" s="11">
        <f>VLOOKUP(A504,'[1]CORREÇÃO DOS ITENS DIVERGENTES'!$A$13:$G$490,7)</f>
        <v>274.41988051196472</v>
      </c>
      <c r="G504" s="91">
        <f t="shared" si="222"/>
        <v>343.0248506399559</v>
      </c>
      <c r="H504" s="12">
        <f>E504*G504</f>
        <v>343.0248506399559</v>
      </c>
      <c r="I504" s="22">
        <v>1</v>
      </c>
      <c r="J504" s="11">
        <f>F504</f>
        <v>274.41988051196472</v>
      </c>
      <c r="K504" s="10">
        <f t="shared" si="225"/>
        <v>349.47371783198707</v>
      </c>
      <c r="L504" s="12">
        <f t="shared" si="228"/>
        <v>349.47371783198707</v>
      </c>
      <c r="M504" s="11">
        <v>0</v>
      </c>
      <c r="N504" s="11">
        <f t="shared" si="226"/>
        <v>274.41988051196472</v>
      </c>
      <c r="O504" s="10">
        <f t="shared" si="227"/>
        <v>349.47371783198707</v>
      </c>
      <c r="P504" s="12">
        <f t="shared" si="209"/>
        <v>0</v>
      </c>
      <c r="Q504" s="148"/>
      <c r="R504" s="74"/>
      <c r="S504" s="47">
        <f>F504-'[1]CORREÇÃO DOS ITENS DIVERGENTES'!$P437</f>
        <v>0</v>
      </c>
      <c r="T504" s="12">
        <f t="shared" si="221"/>
        <v>343.0248506399559</v>
      </c>
      <c r="V504" s="41"/>
    </row>
    <row r="505" spans="1:22" hidden="1">
      <c r="A505" s="118">
        <v>30004000</v>
      </c>
      <c r="B505" s="89" t="s">
        <v>645</v>
      </c>
      <c r="C505" s="89" t="s">
        <v>646</v>
      </c>
      <c r="D505" s="90" t="s">
        <v>19</v>
      </c>
      <c r="E505" s="91">
        <v>9</v>
      </c>
      <c r="F505" s="11">
        <f>VLOOKUP(A505,'[1]CORREÇÃO DOS ITENS DIVERGENTES'!$A$13:$G$490,7)</f>
        <v>23.832904067217726</v>
      </c>
      <c r="G505" s="91">
        <f t="shared" si="222"/>
        <v>29.791130084022157</v>
      </c>
      <c r="H505" s="12">
        <f>E505*G505</f>
        <v>268.1201707561994</v>
      </c>
      <c r="I505" s="22">
        <v>0</v>
      </c>
      <c r="J505" s="11">
        <f>F505</f>
        <v>23.832904067217726</v>
      </c>
      <c r="K505" s="10">
        <f t="shared" si="225"/>
        <v>30.351203329601777</v>
      </c>
      <c r="L505" s="12">
        <f t="shared" si="228"/>
        <v>0</v>
      </c>
      <c r="M505" s="11">
        <f>I505-E505</f>
        <v>-9</v>
      </c>
      <c r="N505" s="11">
        <f t="shared" si="226"/>
        <v>23.832904067217726</v>
      </c>
      <c r="O505" s="10">
        <f t="shared" si="227"/>
        <v>30.351203329601777</v>
      </c>
      <c r="P505" s="12">
        <f t="shared" si="209"/>
        <v>-273.16082996641597</v>
      </c>
      <c r="Q505" s="148"/>
      <c r="R505" s="74"/>
      <c r="S505" s="47">
        <f>F505-'[1]CORREÇÃO DOS ITENS DIVERGENTES'!$P438</f>
        <v>0</v>
      </c>
      <c r="T505" s="12">
        <f t="shared" si="221"/>
        <v>268.1201707561994</v>
      </c>
      <c r="V505" s="41"/>
    </row>
    <row r="506" spans="1:22" hidden="1">
      <c r="A506" s="118">
        <v>30005000</v>
      </c>
      <c r="B506" s="89" t="s">
        <v>647</v>
      </c>
      <c r="C506" s="89" t="s">
        <v>648</v>
      </c>
      <c r="D506" s="90" t="s">
        <v>22</v>
      </c>
      <c r="E506" s="91">
        <v>669.08</v>
      </c>
      <c r="F506" s="11">
        <f>VLOOKUP(A506,'[1]CORREÇÃO DOS ITENS DIVERGENTES'!$A$13:$G$490,7)</f>
        <v>6.5014956015149208</v>
      </c>
      <c r="G506" s="91">
        <f t="shared" si="222"/>
        <v>8.1268695018936512</v>
      </c>
      <c r="H506" s="12">
        <f>E506*G506</f>
        <v>5437.5258463270047</v>
      </c>
      <c r="I506" s="22">
        <v>669.08</v>
      </c>
      <c r="J506" s="11">
        <f>F506</f>
        <v>6.5014956015149208</v>
      </c>
      <c r="K506" s="10">
        <f t="shared" si="225"/>
        <v>8.2796546485292524</v>
      </c>
      <c r="L506" s="12">
        <f t="shared" si="228"/>
        <v>5539.7513322379527</v>
      </c>
      <c r="M506" s="11">
        <v>0</v>
      </c>
      <c r="N506" s="11">
        <f t="shared" si="226"/>
        <v>6.5014956015149208</v>
      </c>
      <c r="O506" s="10">
        <f t="shared" si="227"/>
        <v>8.2796546485292524</v>
      </c>
      <c r="P506" s="12">
        <f t="shared" si="209"/>
        <v>0</v>
      </c>
      <c r="Q506" s="148"/>
      <c r="R506" s="74"/>
      <c r="S506" s="47">
        <f>F506-'[1]CORREÇÃO DOS ITENS DIVERGENTES'!$P439</f>
        <v>0</v>
      </c>
      <c r="T506" s="12">
        <f t="shared" si="221"/>
        <v>5437.5258463270047</v>
      </c>
      <c r="V506" s="41"/>
    </row>
    <row r="507" spans="1:22" ht="22.5">
      <c r="A507" s="118"/>
      <c r="B507" s="89" t="s">
        <v>649</v>
      </c>
      <c r="C507" s="89" t="s">
        <v>650</v>
      </c>
      <c r="D507" s="90" t="s">
        <v>22</v>
      </c>
      <c r="E507" s="91">
        <v>195</v>
      </c>
      <c r="F507" s="35">
        <v>7.64</v>
      </c>
      <c r="G507" s="91">
        <f t="shared" si="222"/>
        <v>9.5499999999999989</v>
      </c>
      <c r="H507" s="12">
        <f t="shared" ref="H507:H521" si="229">E507*F507</f>
        <v>1489.8</v>
      </c>
      <c r="I507" s="22"/>
      <c r="J507" s="11"/>
      <c r="K507" s="10"/>
      <c r="L507" s="12"/>
      <c r="M507" s="11"/>
      <c r="N507" s="11"/>
      <c r="O507" s="10"/>
      <c r="P507" s="12"/>
      <c r="Q507" s="148"/>
      <c r="R507" s="74"/>
      <c r="S507" s="47"/>
      <c r="T507" s="12">
        <f t="shared" si="221"/>
        <v>1862.2499999999998</v>
      </c>
      <c r="V507" s="41"/>
    </row>
    <row r="508" spans="1:22" ht="42" hidden="1" customHeight="1">
      <c r="A508" s="135">
        <v>30006000</v>
      </c>
      <c r="B508" s="89" t="s">
        <v>651</v>
      </c>
      <c r="C508" s="89" t="s">
        <v>652</v>
      </c>
      <c r="D508" s="90" t="s">
        <v>22</v>
      </c>
      <c r="E508" s="35">
        <v>195</v>
      </c>
      <c r="F508" s="11">
        <f>VLOOKUP(A508,'[1]CORREÇÃO DOS ITENS DIVERGENTES'!$A$13:$G$490,7)</f>
        <v>74.815982808701719</v>
      </c>
      <c r="G508" s="91">
        <f t="shared" si="222"/>
        <v>93.519978510877152</v>
      </c>
      <c r="H508" s="12">
        <f t="shared" si="229"/>
        <v>14589.116647696836</v>
      </c>
      <c r="I508" s="22">
        <v>195</v>
      </c>
      <c r="J508" s="11">
        <f t="shared" ref="J508:J516" si="230">F508</f>
        <v>74.815982808701719</v>
      </c>
      <c r="K508" s="10">
        <f t="shared" si="225"/>
        <v>95.278154106881644</v>
      </c>
      <c r="L508" s="12">
        <f t="shared" si="228"/>
        <v>18579.24005084192</v>
      </c>
      <c r="M508" s="11">
        <v>0</v>
      </c>
      <c r="N508" s="11">
        <f t="shared" si="226"/>
        <v>74.815982808701719</v>
      </c>
      <c r="O508" s="10">
        <f t="shared" si="227"/>
        <v>95.278154106881644</v>
      </c>
      <c r="P508" s="12">
        <f t="shared" si="209"/>
        <v>0</v>
      </c>
      <c r="Q508" s="148"/>
      <c r="R508" s="74"/>
      <c r="S508" s="47">
        <f>F508-'[1]CORREÇÃO DOS ITENS DIVERGENTES'!$P440</f>
        <v>0</v>
      </c>
      <c r="T508" s="12">
        <f t="shared" si="221"/>
        <v>18236.395809621044</v>
      </c>
      <c r="V508" s="41"/>
    </row>
    <row r="509" spans="1:22" ht="22.5" hidden="1">
      <c r="A509" s="118">
        <v>30007000</v>
      </c>
      <c r="B509" s="89" t="s">
        <v>653</v>
      </c>
      <c r="C509" s="89" t="s">
        <v>654</v>
      </c>
      <c r="D509" s="90" t="s">
        <v>640</v>
      </c>
      <c r="E509" s="91">
        <v>1</v>
      </c>
      <c r="F509" s="11">
        <f>VLOOKUP(A509,'[1]CORREÇÃO DOS ITENS DIVERGENTES'!$A$13:$G$490,7)</f>
        <v>901.94281681698408</v>
      </c>
      <c r="G509" s="91">
        <f t="shared" si="222"/>
        <v>1127.4285210212302</v>
      </c>
      <c r="H509" s="12">
        <f t="shared" si="229"/>
        <v>901.94281681698408</v>
      </c>
      <c r="I509" s="22">
        <v>1</v>
      </c>
      <c r="J509" s="11">
        <f t="shared" si="230"/>
        <v>901.94281681698408</v>
      </c>
      <c r="K509" s="10">
        <f t="shared" si="225"/>
        <v>1148.6241772164292</v>
      </c>
      <c r="L509" s="12">
        <f t="shared" si="228"/>
        <v>1148.6241772164292</v>
      </c>
      <c r="M509" s="11">
        <v>0</v>
      </c>
      <c r="N509" s="11">
        <f t="shared" si="226"/>
        <v>901.94281681698408</v>
      </c>
      <c r="O509" s="10">
        <f t="shared" si="227"/>
        <v>1148.6241772164292</v>
      </c>
      <c r="P509" s="12">
        <f t="shared" si="209"/>
        <v>0</v>
      </c>
      <c r="Q509" s="148"/>
      <c r="R509" s="74"/>
      <c r="S509" s="47">
        <f>F509-'[1]CORREÇÃO DOS ITENS DIVERGENTES'!$P441</f>
        <v>0</v>
      </c>
      <c r="T509" s="12">
        <f t="shared" si="221"/>
        <v>1127.4285210212302</v>
      </c>
      <c r="V509" s="41"/>
    </row>
    <row r="510" spans="1:22" ht="22.5" hidden="1">
      <c r="A510" s="118">
        <v>30008000</v>
      </c>
      <c r="B510" s="89" t="s">
        <v>655</v>
      </c>
      <c r="C510" s="89" t="s">
        <v>656</v>
      </c>
      <c r="D510" s="90" t="s">
        <v>193</v>
      </c>
      <c r="E510" s="91">
        <v>31.5</v>
      </c>
      <c r="F510" s="11">
        <f>VLOOKUP(A510,'[1]CORREÇÃO DOS ITENS DIVERGENTES'!$A$13:$G$490,7)</f>
        <v>45.776560435768772</v>
      </c>
      <c r="G510" s="91">
        <f t="shared" si="222"/>
        <v>57.220700544710965</v>
      </c>
      <c r="H510" s="12">
        <f t="shared" si="229"/>
        <v>1441.9616537267163</v>
      </c>
      <c r="I510" s="22">
        <v>31.5</v>
      </c>
      <c r="J510" s="11">
        <f t="shared" si="230"/>
        <v>45.776560435768772</v>
      </c>
      <c r="K510" s="10">
        <f t="shared" si="225"/>
        <v>58.296449714951535</v>
      </c>
      <c r="L510" s="12">
        <f t="shared" si="228"/>
        <v>1836.3381660209734</v>
      </c>
      <c r="M510" s="11">
        <v>0</v>
      </c>
      <c r="N510" s="11">
        <f t="shared" si="226"/>
        <v>45.776560435768772</v>
      </c>
      <c r="O510" s="10">
        <f t="shared" si="227"/>
        <v>58.296449714951535</v>
      </c>
      <c r="P510" s="12">
        <f t="shared" si="209"/>
        <v>0</v>
      </c>
      <c r="Q510" s="148"/>
      <c r="R510" s="74"/>
      <c r="S510" s="47">
        <f>F510-'[1]CORREÇÃO DOS ITENS DIVERGENTES'!$P442</f>
        <v>0</v>
      </c>
      <c r="T510" s="12">
        <f t="shared" si="221"/>
        <v>1802.4520671583955</v>
      </c>
      <c r="V510" s="41"/>
    </row>
    <row r="511" spans="1:22" ht="45" hidden="1">
      <c r="A511" s="118">
        <v>30009000</v>
      </c>
      <c r="B511" s="89" t="s">
        <v>657</v>
      </c>
      <c r="C511" s="89" t="s">
        <v>658</v>
      </c>
      <c r="D511" s="90" t="s">
        <v>640</v>
      </c>
      <c r="E511" s="91">
        <v>1</v>
      </c>
      <c r="F511" s="11">
        <f>VLOOKUP(A511,'[1]CORREÇÃO DOS ITENS DIVERGENTES'!$A$13:$G$490,7)</f>
        <v>607.28226377751992</v>
      </c>
      <c r="G511" s="91">
        <f t="shared" si="222"/>
        <v>759.10282972189987</v>
      </c>
      <c r="H511" s="12">
        <f t="shared" si="229"/>
        <v>607.28226377751992</v>
      </c>
      <c r="I511" s="22">
        <v>1</v>
      </c>
      <c r="J511" s="11">
        <f t="shared" si="230"/>
        <v>607.28226377751992</v>
      </c>
      <c r="K511" s="10">
        <f t="shared" si="225"/>
        <v>773.37396292067172</v>
      </c>
      <c r="L511" s="12">
        <f t="shared" si="228"/>
        <v>773.37396292067172</v>
      </c>
      <c r="M511" s="11">
        <v>0</v>
      </c>
      <c r="N511" s="11">
        <f t="shared" si="226"/>
        <v>607.28226377751992</v>
      </c>
      <c r="O511" s="10">
        <f t="shared" si="227"/>
        <v>773.37396292067172</v>
      </c>
      <c r="P511" s="12">
        <f t="shared" si="209"/>
        <v>0</v>
      </c>
      <c r="Q511" s="148"/>
      <c r="R511" s="74"/>
      <c r="S511" s="47">
        <f>F511-'[1]CORREÇÃO DOS ITENS DIVERGENTES'!$P443</f>
        <v>0</v>
      </c>
      <c r="T511" s="12">
        <f t="shared" si="221"/>
        <v>759.10282972189987</v>
      </c>
      <c r="V511" s="41"/>
    </row>
    <row r="512" spans="1:22" ht="45" hidden="1">
      <c r="A512" s="118">
        <v>30010000</v>
      </c>
      <c r="B512" s="89" t="s">
        <v>659</v>
      </c>
      <c r="C512" s="89" t="s">
        <v>660</v>
      </c>
      <c r="D512" s="90" t="s">
        <v>640</v>
      </c>
      <c r="E512" s="91">
        <v>2</v>
      </c>
      <c r="F512" s="11">
        <f>VLOOKUP(A512,'[1]CORREÇÃO DOS ITENS DIVERGENTES'!$A$13:$G$490,7)</f>
        <v>514.85104186294018</v>
      </c>
      <c r="G512" s="91">
        <f t="shared" si="222"/>
        <v>643.56380232867525</v>
      </c>
      <c r="H512" s="12">
        <f t="shared" si="229"/>
        <v>1029.7020837258804</v>
      </c>
      <c r="I512" s="22">
        <v>2</v>
      </c>
      <c r="J512" s="11">
        <f t="shared" si="230"/>
        <v>514.85104186294018</v>
      </c>
      <c r="K512" s="10">
        <f t="shared" si="225"/>
        <v>655.6628018124544</v>
      </c>
      <c r="L512" s="12">
        <f t="shared" si="228"/>
        <v>1311.3256036249088</v>
      </c>
      <c r="M512" s="11">
        <v>0</v>
      </c>
      <c r="N512" s="11">
        <f t="shared" si="226"/>
        <v>514.85104186294018</v>
      </c>
      <c r="O512" s="10">
        <f t="shared" si="227"/>
        <v>655.6628018124544</v>
      </c>
      <c r="P512" s="12">
        <f t="shared" si="209"/>
        <v>0</v>
      </c>
      <c r="Q512" s="148"/>
      <c r="R512" s="74"/>
      <c r="S512" s="47">
        <f>F512-'[1]CORREÇÃO DOS ITENS DIVERGENTES'!$P444</f>
        <v>0</v>
      </c>
      <c r="T512" s="12">
        <f t="shared" si="221"/>
        <v>1287.1276046573505</v>
      </c>
      <c r="V512" s="41"/>
    </row>
    <row r="513" spans="1:22" ht="22.5" hidden="1">
      <c r="A513" s="118">
        <v>30011000</v>
      </c>
      <c r="B513" s="89" t="s">
        <v>661</v>
      </c>
      <c r="C513" s="89" t="s">
        <v>662</v>
      </c>
      <c r="D513" s="90" t="s">
        <v>22</v>
      </c>
      <c r="E513" s="91">
        <v>1.59</v>
      </c>
      <c r="F513" s="11">
        <f>VLOOKUP(A513,'[1]CORREÇÃO DOS ITENS DIVERGENTES'!$A$13:$G$490,7)</f>
        <v>117.12448760982885</v>
      </c>
      <c r="G513" s="91">
        <f t="shared" si="222"/>
        <v>146.40560951228605</v>
      </c>
      <c r="H513" s="12">
        <f t="shared" si="229"/>
        <v>186.22793529962789</v>
      </c>
      <c r="I513" s="22">
        <v>1.59</v>
      </c>
      <c r="J513" s="11">
        <f t="shared" si="230"/>
        <v>117.12448760982885</v>
      </c>
      <c r="K513" s="10">
        <f t="shared" si="225"/>
        <v>149.15803497111705</v>
      </c>
      <c r="L513" s="12">
        <f t="shared" si="228"/>
        <v>237.16127560407611</v>
      </c>
      <c r="M513" s="11">
        <v>0</v>
      </c>
      <c r="N513" s="11">
        <f t="shared" si="226"/>
        <v>117.12448760982885</v>
      </c>
      <c r="O513" s="10">
        <f t="shared" si="227"/>
        <v>149.15803497111705</v>
      </c>
      <c r="P513" s="12">
        <f t="shared" si="209"/>
        <v>0</v>
      </c>
      <c r="Q513" s="148"/>
      <c r="R513" s="74"/>
      <c r="S513" s="47">
        <f>F513-'[1]CORREÇÃO DOS ITENS DIVERGENTES'!$P445</f>
        <v>0</v>
      </c>
      <c r="T513" s="12">
        <f t="shared" si="221"/>
        <v>232.78491912453484</v>
      </c>
      <c r="V513" s="41"/>
    </row>
    <row r="514" spans="1:22" ht="22.5" hidden="1">
      <c r="A514" s="118">
        <v>30012000</v>
      </c>
      <c r="B514" s="89" t="s">
        <v>663</v>
      </c>
      <c r="C514" s="89" t="s">
        <v>664</v>
      </c>
      <c r="D514" s="90" t="s">
        <v>22</v>
      </c>
      <c r="E514" s="91">
        <v>3.18</v>
      </c>
      <c r="F514" s="11">
        <f>VLOOKUP(A514,'[1]CORREÇÃO DOS ITENS DIVERGENTES'!$A$13:$G$490,7)</f>
        <v>117.12448760982885</v>
      </c>
      <c r="G514" s="91">
        <f t="shared" si="222"/>
        <v>146.40560951228605</v>
      </c>
      <c r="H514" s="12">
        <f t="shared" si="229"/>
        <v>372.45587059925577</v>
      </c>
      <c r="I514" s="22">
        <v>3.18</v>
      </c>
      <c r="J514" s="11">
        <f t="shared" si="230"/>
        <v>117.12448760982885</v>
      </c>
      <c r="K514" s="10">
        <f t="shared" si="225"/>
        <v>149.15803497111705</v>
      </c>
      <c r="L514" s="12">
        <f t="shared" si="228"/>
        <v>474.32255120815222</v>
      </c>
      <c r="M514" s="11">
        <v>0</v>
      </c>
      <c r="N514" s="11">
        <f t="shared" si="226"/>
        <v>117.12448760982885</v>
      </c>
      <c r="O514" s="10">
        <f t="shared" si="227"/>
        <v>149.15803497111705</v>
      </c>
      <c r="P514" s="12">
        <f t="shared" si="209"/>
        <v>0</v>
      </c>
      <c r="Q514" s="148"/>
      <c r="R514" s="74"/>
      <c r="S514" s="47">
        <f>F514-'[1]CORREÇÃO DOS ITENS DIVERGENTES'!$P446</f>
        <v>0</v>
      </c>
      <c r="T514" s="12">
        <f t="shared" si="221"/>
        <v>465.56983824906968</v>
      </c>
      <c r="V514" s="41"/>
    </row>
    <row r="515" spans="1:22" ht="22.5" hidden="1">
      <c r="A515" s="118">
        <v>30013000</v>
      </c>
      <c r="B515" s="89" t="s">
        <v>665</v>
      </c>
      <c r="C515" s="89" t="s">
        <v>666</v>
      </c>
      <c r="D515" s="90" t="s">
        <v>22</v>
      </c>
      <c r="E515" s="91">
        <v>2.48</v>
      </c>
      <c r="F515" s="11">
        <f>VLOOKUP(A515,'[1]CORREÇÃO DOS ITENS DIVERGENTES'!$A$13:$G$490,7)</f>
        <v>117.12448760982885</v>
      </c>
      <c r="G515" s="91">
        <f t="shared" si="222"/>
        <v>146.40560951228605</v>
      </c>
      <c r="H515" s="12">
        <f t="shared" si="229"/>
        <v>290.46872927237553</v>
      </c>
      <c r="I515" s="22">
        <v>2.48</v>
      </c>
      <c r="J515" s="11">
        <f t="shared" si="230"/>
        <v>117.12448760982885</v>
      </c>
      <c r="K515" s="10">
        <f t="shared" si="225"/>
        <v>149.15803497111705</v>
      </c>
      <c r="L515" s="12">
        <f t="shared" si="228"/>
        <v>369.91192672837025</v>
      </c>
      <c r="M515" s="11">
        <v>0</v>
      </c>
      <c r="N515" s="11">
        <f t="shared" si="226"/>
        <v>117.12448760982885</v>
      </c>
      <c r="O515" s="10">
        <f t="shared" si="227"/>
        <v>149.15803497111705</v>
      </c>
      <c r="P515" s="12">
        <f t="shared" si="209"/>
        <v>0</v>
      </c>
      <c r="Q515" s="148"/>
      <c r="R515" s="74"/>
      <c r="S515" s="47">
        <f>F515-'[1]CORREÇÃO DOS ITENS DIVERGENTES'!$P447</f>
        <v>0</v>
      </c>
      <c r="T515" s="12">
        <f t="shared" si="221"/>
        <v>363.08591159046938</v>
      </c>
      <c r="V515" s="41"/>
    </row>
    <row r="516" spans="1:22" ht="22.5" hidden="1">
      <c r="A516" s="118">
        <v>30014000</v>
      </c>
      <c r="B516" s="89" t="s">
        <v>667</v>
      </c>
      <c r="C516" s="89" t="s">
        <v>668</v>
      </c>
      <c r="D516" s="90" t="s">
        <v>22</v>
      </c>
      <c r="E516" s="91">
        <f>0.8*0.5</f>
        <v>0.4</v>
      </c>
      <c r="F516" s="11">
        <f>VLOOKUP(A516,'[1]CORREÇÃO DOS ITENS DIVERGENTES'!$A$13:$G$490,7)</f>
        <v>117.12448760982885</v>
      </c>
      <c r="G516" s="91">
        <f t="shared" si="222"/>
        <v>146.40560951228605</v>
      </c>
      <c r="H516" s="12">
        <f t="shared" si="229"/>
        <v>46.849795043931543</v>
      </c>
      <c r="I516" s="22">
        <f>0.8*0.5</f>
        <v>0.4</v>
      </c>
      <c r="J516" s="11">
        <f t="shared" si="230"/>
        <v>117.12448760982885</v>
      </c>
      <c r="K516" s="10">
        <f t="shared" si="225"/>
        <v>149.15803497111705</v>
      </c>
      <c r="L516" s="12">
        <f t="shared" si="228"/>
        <v>59.66321398844682</v>
      </c>
      <c r="M516" s="11">
        <v>0</v>
      </c>
      <c r="N516" s="11">
        <f t="shared" si="226"/>
        <v>117.12448760982885</v>
      </c>
      <c r="O516" s="10">
        <f t="shared" si="227"/>
        <v>149.15803497111705</v>
      </c>
      <c r="P516" s="12">
        <f t="shared" si="209"/>
        <v>0</v>
      </c>
      <c r="Q516" s="148"/>
      <c r="R516" s="74"/>
      <c r="S516" s="47">
        <f>F516-'[1]CORREÇÃO DOS ITENS DIVERGENTES'!$P448</f>
        <v>0</v>
      </c>
      <c r="T516" s="12">
        <f t="shared" si="221"/>
        <v>58.562243804914424</v>
      </c>
      <c r="V516" s="41"/>
    </row>
    <row r="517" spans="1:22" ht="22.5">
      <c r="A517" s="118"/>
      <c r="B517" s="89">
        <v>7158</v>
      </c>
      <c r="C517" s="89" t="s">
        <v>669</v>
      </c>
      <c r="D517" s="90" t="s">
        <v>22</v>
      </c>
      <c r="E517" s="91">
        <v>195</v>
      </c>
      <c r="F517" s="35">
        <v>16.88</v>
      </c>
      <c r="G517" s="91">
        <f t="shared" si="222"/>
        <v>21.099999999999998</v>
      </c>
      <c r="H517" s="12">
        <f t="shared" si="229"/>
        <v>3291.6</v>
      </c>
      <c r="I517" s="22"/>
      <c r="J517" s="11"/>
      <c r="K517" s="10"/>
      <c r="L517" s="12"/>
      <c r="M517" s="11"/>
      <c r="N517" s="11"/>
      <c r="O517" s="10"/>
      <c r="P517" s="12"/>
      <c r="Q517" s="148"/>
      <c r="R517" s="74"/>
      <c r="S517" s="47"/>
      <c r="T517" s="12">
        <f t="shared" si="221"/>
        <v>4114.5</v>
      </c>
      <c r="V517" s="41"/>
    </row>
    <row r="518" spans="1:22" ht="22.5">
      <c r="A518" s="118">
        <v>30015000</v>
      </c>
      <c r="B518" s="89" t="s">
        <v>670</v>
      </c>
      <c r="C518" s="89" t="s">
        <v>671</v>
      </c>
      <c r="D518" s="90" t="s">
        <v>22</v>
      </c>
      <c r="E518" s="91">
        <f>16.9*24.4+(7.5*24.05-42.16)*2</f>
        <v>688.79</v>
      </c>
      <c r="F518" s="35">
        <v>15.75</v>
      </c>
      <c r="G518" s="91">
        <f t="shared" si="222"/>
        <v>19.6875</v>
      </c>
      <c r="H518" s="12">
        <f t="shared" si="229"/>
        <v>10848.442499999999</v>
      </c>
      <c r="I518" s="22">
        <v>80.599999999999994</v>
      </c>
      <c r="J518" s="11">
        <f t="shared" ref="J518:J524" si="231">F518</f>
        <v>15.75</v>
      </c>
      <c r="K518" s="10">
        <f t="shared" si="225"/>
        <v>20.057625000000002</v>
      </c>
      <c r="L518" s="12">
        <f t="shared" si="228"/>
        <v>1616.644575</v>
      </c>
      <c r="M518" s="11">
        <v>0</v>
      </c>
      <c r="N518" s="11">
        <f t="shared" si="226"/>
        <v>15.75</v>
      </c>
      <c r="O518" s="10">
        <f t="shared" si="227"/>
        <v>20.057625000000002</v>
      </c>
      <c r="P518" s="12">
        <f t="shared" si="209"/>
        <v>0</v>
      </c>
      <c r="Q518" s="148"/>
      <c r="R518" s="74"/>
      <c r="S518" s="47">
        <f>F518-'[1]CORREÇÃO DOS ITENS DIVERGENTES'!$P449</f>
        <v>1.7802106788731233</v>
      </c>
      <c r="T518" s="12">
        <f t="shared" si="221"/>
        <v>13560.553124999999</v>
      </c>
      <c r="V518" s="41"/>
    </row>
    <row r="519" spans="1:22" ht="33.75">
      <c r="A519" s="118">
        <v>30016000</v>
      </c>
      <c r="B519" s="89" t="s">
        <v>672</v>
      </c>
      <c r="C519" s="89" t="s">
        <v>673</v>
      </c>
      <c r="D519" s="90" t="s">
        <v>19</v>
      </c>
      <c r="E519" s="91">
        <v>1</v>
      </c>
      <c r="F519" s="35">
        <v>603.36</v>
      </c>
      <c r="G519" s="91">
        <f t="shared" si="222"/>
        <v>754.2</v>
      </c>
      <c r="H519" s="12">
        <f t="shared" si="229"/>
        <v>603.36</v>
      </c>
      <c r="I519" s="22">
        <v>1</v>
      </c>
      <c r="J519" s="11">
        <f t="shared" si="231"/>
        <v>603.36</v>
      </c>
      <c r="K519" s="10">
        <f t="shared" si="225"/>
        <v>768.37896000000012</v>
      </c>
      <c r="L519" s="12">
        <f t="shared" si="228"/>
        <v>768.37896000000012</v>
      </c>
      <c r="M519" s="11">
        <v>0</v>
      </c>
      <c r="N519" s="11">
        <f t="shared" si="226"/>
        <v>603.36</v>
      </c>
      <c r="O519" s="10">
        <f t="shared" si="227"/>
        <v>768.37896000000012</v>
      </c>
      <c r="P519" s="12">
        <f t="shared" si="209"/>
        <v>0</v>
      </c>
      <c r="Q519" s="148"/>
      <c r="R519" s="74"/>
      <c r="S519" s="47">
        <f>F519-'[1]CORREÇÃO DOS ITENS DIVERGENTES'!$P450</f>
        <v>68.197327949516648</v>
      </c>
      <c r="T519" s="12">
        <f t="shared" si="221"/>
        <v>754.2</v>
      </c>
      <c r="V519" s="41"/>
    </row>
    <row r="520" spans="1:22" ht="22.5" hidden="1">
      <c r="A520" s="118">
        <v>30017000</v>
      </c>
      <c r="B520" s="89" t="s">
        <v>674</v>
      </c>
      <c r="C520" s="89" t="s">
        <v>675</v>
      </c>
      <c r="D520" s="90" t="s">
        <v>19</v>
      </c>
      <c r="E520" s="91">
        <v>19</v>
      </c>
      <c r="F520" s="11">
        <f>VLOOKUP(A520,'[1]CORREÇÃO DOS ITENS DIVERGENTES'!$A$13:$G$490,7)</f>
        <v>179.89540762609226</v>
      </c>
      <c r="G520" s="91">
        <f t="shared" si="222"/>
        <v>224.86925953261533</v>
      </c>
      <c r="H520" s="12">
        <f t="shared" si="229"/>
        <v>3418.0127448957528</v>
      </c>
      <c r="I520" s="22">
        <v>19</v>
      </c>
      <c r="J520" s="11">
        <f t="shared" si="231"/>
        <v>179.89540762609226</v>
      </c>
      <c r="K520" s="10">
        <f t="shared" si="225"/>
        <v>229.09680161182851</v>
      </c>
      <c r="L520" s="12">
        <f t="shared" si="228"/>
        <v>4352.8392306247415</v>
      </c>
      <c r="M520" s="11">
        <v>0</v>
      </c>
      <c r="N520" s="11">
        <f t="shared" si="226"/>
        <v>179.89540762609226</v>
      </c>
      <c r="O520" s="10">
        <f t="shared" si="227"/>
        <v>229.09680161182851</v>
      </c>
      <c r="P520" s="12">
        <f t="shared" si="209"/>
        <v>0</v>
      </c>
      <c r="Q520" s="148"/>
      <c r="R520" s="74"/>
      <c r="S520" s="47">
        <f>F520-'[1]CORREÇÃO DOS ITENS DIVERGENTES'!$P451</f>
        <v>0</v>
      </c>
      <c r="T520" s="12">
        <f t="shared" si="221"/>
        <v>4272.5159311196912</v>
      </c>
      <c r="V520" s="41"/>
    </row>
    <row r="521" spans="1:22" ht="22.5">
      <c r="A521" s="118">
        <v>30018000</v>
      </c>
      <c r="B521" s="89" t="s">
        <v>676</v>
      </c>
      <c r="C521" s="89" t="s">
        <v>677</v>
      </c>
      <c r="D521" s="90" t="s">
        <v>19</v>
      </c>
      <c r="E521" s="91">
        <v>2</v>
      </c>
      <c r="F521" s="35">
        <v>443.61</v>
      </c>
      <c r="G521" s="91">
        <f t="shared" si="222"/>
        <v>554.51250000000005</v>
      </c>
      <c r="H521" s="12">
        <f t="shared" si="229"/>
        <v>887.22</v>
      </c>
      <c r="I521" s="22">
        <v>4</v>
      </c>
      <c r="J521" s="11">
        <f t="shared" si="231"/>
        <v>443.61</v>
      </c>
      <c r="K521" s="10">
        <f t="shared" si="225"/>
        <v>564.93733500000008</v>
      </c>
      <c r="L521" s="12">
        <f t="shared" si="228"/>
        <v>2259.7493400000003</v>
      </c>
      <c r="M521" s="11">
        <v>0</v>
      </c>
      <c r="N521" s="11">
        <f t="shared" si="226"/>
        <v>443.61</v>
      </c>
      <c r="O521" s="10">
        <f t="shared" si="227"/>
        <v>564.93733500000008</v>
      </c>
      <c r="P521" s="12">
        <f t="shared" si="209"/>
        <v>0</v>
      </c>
      <c r="Q521" s="148"/>
      <c r="R521" s="74"/>
      <c r="S521" s="47">
        <f>F521-'[1]CORREÇÃO DOS ITENS DIVERGENTES'!$P452</f>
        <v>287.13948989587351</v>
      </c>
      <c r="T521" s="12">
        <f t="shared" si="221"/>
        <v>1109.0250000000001</v>
      </c>
      <c r="V521" s="36"/>
    </row>
    <row r="522" spans="1:22" ht="33.75" hidden="1">
      <c r="A522" s="118">
        <v>30019000</v>
      </c>
      <c r="B522" s="89" t="s">
        <v>678</v>
      </c>
      <c r="C522" s="89" t="s">
        <v>679</v>
      </c>
      <c r="D522" s="90" t="s">
        <v>19</v>
      </c>
      <c r="E522" s="91">
        <v>11</v>
      </c>
      <c r="F522" s="11">
        <f>VLOOKUP(A522,'[1]CORREÇÃO DOS ITENS DIVERGENTES'!$A$13:$G$490,7)</f>
        <v>18.262727753777931</v>
      </c>
      <c r="G522" s="91">
        <f t="shared" si="222"/>
        <v>22.828409692222415</v>
      </c>
      <c r="H522" s="12">
        <f>E522*G522</f>
        <v>251.11250661444657</v>
      </c>
      <c r="I522" s="22">
        <v>0</v>
      </c>
      <c r="J522" s="11">
        <f t="shared" si="231"/>
        <v>18.262727753777931</v>
      </c>
      <c r="K522" s="10">
        <f t="shared" si="225"/>
        <v>23.257583794436197</v>
      </c>
      <c r="L522" s="12">
        <f t="shared" si="228"/>
        <v>0</v>
      </c>
      <c r="M522" s="11">
        <f>I522-E522</f>
        <v>-11</v>
      </c>
      <c r="N522" s="11">
        <f t="shared" si="226"/>
        <v>18.262727753777931</v>
      </c>
      <c r="O522" s="10">
        <f t="shared" si="227"/>
        <v>23.257583794436197</v>
      </c>
      <c r="P522" s="12">
        <f t="shared" ref="P522:P545" si="232">M522*O522</f>
        <v>-255.83342173879817</v>
      </c>
      <c r="Q522" s="148"/>
      <c r="R522" s="74"/>
      <c r="S522" s="47">
        <f>F522-'[1]CORREÇÃO DOS ITENS DIVERGENTES'!$P453</f>
        <v>0</v>
      </c>
      <c r="T522" s="12">
        <f t="shared" si="221"/>
        <v>251.11250661444657</v>
      </c>
      <c r="V522" s="41"/>
    </row>
    <row r="523" spans="1:22" ht="22.5" hidden="1">
      <c r="A523" s="118">
        <v>30020000</v>
      </c>
      <c r="B523" s="89" t="s">
        <v>680</v>
      </c>
      <c r="C523" s="89" t="s">
        <v>681</v>
      </c>
      <c r="D523" s="90" t="s">
        <v>19</v>
      </c>
      <c r="E523" s="91">
        <v>34</v>
      </c>
      <c r="F523" s="11">
        <f>VLOOKUP(A523,'[1]CORREÇÃO DOS ITENS DIVERGENTES'!$A$13:$G$490,7)</f>
        <v>18.262727753777931</v>
      </c>
      <c r="G523" s="91">
        <f t="shared" si="222"/>
        <v>22.828409692222415</v>
      </c>
      <c r="H523" s="12">
        <f>E523*G523</f>
        <v>776.1659295355621</v>
      </c>
      <c r="I523" s="22">
        <v>0</v>
      </c>
      <c r="J523" s="11">
        <f t="shared" si="231"/>
        <v>18.262727753777931</v>
      </c>
      <c r="K523" s="10">
        <f t="shared" si="225"/>
        <v>23.257583794436197</v>
      </c>
      <c r="L523" s="12">
        <f t="shared" si="228"/>
        <v>0</v>
      </c>
      <c r="M523" s="11">
        <f>I523-E523</f>
        <v>-34</v>
      </c>
      <c r="N523" s="11">
        <f t="shared" si="226"/>
        <v>18.262727753777931</v>
      </c>
      <c r="O523" s="10">
        <f t="shared" si="227"/>
        <v>23.257583794436197</v>
      </c>
      <c r="P523" s="12">
        <f t="shared" si="232"/>
        <v>-790.75784901083068</v>
      </c>
      <c r="Q523" s="148"/>
      <c r="R523" s="74"/>
      <c r="S523" s="47">
        <f>F523-'[1]CORREÇÃO DOS ITENS DIVERGENTES'!$P454</f>
        <v>0</v>
      </c>
      <c r="T523" s="12">
        <f t="shared" si="221"/>
        <v>776.1659295355621</v>
      </c>
      <c r="V523" s="41"/>
    </row>
    <row r="524" spans="1:22" ht="22.5" hidden="1">
      <c r="A524" s="118">
        <v>30021000</v>
      </c>
      <c r="B524" s="89" t="s">
        <v>682</v>
      </c>
      <c r="C524" s="89" t="s">
        <v>683</v>
      </c>
      <c r="D524" s="90" t="s">
        <v>102</v>
      </c>
      <c r="E524" s="91">
        <v>58.2</v>
      </c>
      <c r="F524" s="11">
        <f>VLOOKUP(A524,'[1]CORREÇÃO DOS ITENS DIVERGENTES'!$A$13:$G$490,7)</f>
        <v>37.864781340882942</v>
      </c>
      <c r="G524" s="91">
        <f t="shared" si="222"/>
        <v>47.330976676103674</v>
      </c>
      <c r="H524" s="12">
        <f>E524*G524</f>
        <v>2754.662842549234</v>
      </c>
      <c r="I524" s="22">
        <v>58.2</v>
      </c>
      <c r="J524" s="11">
        <f t="shared" si="231"/>
        <v>37.864781340882942</v>
      </c>
      <c r="K524" s="10">
        <f t="shared" si="225"/>
        <v>48.220799037614427</v>
      </c>
      <c r="L524" s="12">
        <f t="shared" si="228"/>
        <v>2806.4505039891596</v>
      </c>
      <c r="M524" s="11">
        <v>0</v>
      </c>
      <c r="N524" s="11">
        <f t="shared" si="226"/>
        <v>37.864781340882942</v>
      </c>
      <c r="O524" s="10">
        <f t="shared" si="227"/>
        <v>48.220799037614427</v>
      </c>
      <c r="P524" s="12">
        <f t="shared" si="232"/>
        <v>0</v>
      </c>
      <c r="Q524" s="148"/>
      <c r="R524" s="74"/>
      <c r="S524" s="47">
        <f>F524-'[1]CORREÇÃO DOS ITENS DIVERGENTES'!$P455</f>
        <v>0</v>
      </c>
      <c r="T524" s="12">
        <f t="shared" si="221"/>
        <v>2754.662842549234</v>
      </c>
      <c r="V524" s="41"/>
    </row>
    <row r="525" spans="1:22" s="8" customFormat="1" ht="14.25" customHeight="1">
      <c r="A525" s="139">
        <v>31000000</v>
      </c>
      <c r="B525" s="139"/>
      <c r="C525" s="139" t="s">
        <v>684</v>
      </c>
      <c r="D525" s="139"/>
      <c r="E525" s="139"/>
      <c r="F525" s="139"/>
      <c r="G525" s="139"/>
      <c r="H525" s="140">
        <f>SUM(H528:H536)</f>
        <v>30395.2673</v>
      </c>
      <c r="I525" s="159"/>
      <c r="J525" s="159"/>
      <c r="K525" s="27"/>
      <c r="L525" s="26">
        <f>SUM(L526:L538)</f>
        <v>7957.1197415721326</v>
      </c>
      <c r="M525" s="159"/>
      <c r="N525" s="159"/>
      <c r="O525" s="27"/>
      <c r="P525" s="26">
        <f>SUM(P526:P538)</f>
        <v>62.622653985601872</v>
      </c>
      <c r="Q525" s="160">
        <f t="shared" ref="Q525:Q541" si="233">L525+P525</f>
        <v>8019.7423955577342</v>
      </c>
      <c r="R525" s="159"/>
      <c r="S525" s="159"/>
      <c r="T525" s="140">
        <f>SUM(T528:T536)</f>
        <v>37994.084125000001</v>
      </c>
      <c r="V525" s="42"/>
    </row>
    <row r="526" spans="1:22" ht="22.5" hidden="1">
      <c r="A526" s="118">
        <v>31001000</v>
      </c>
      <c r="B526" s="89">
        <v>41595</v>
      </c>
      <c r="C526" s="89" t="s">
        <v>685</v>
      </c>
      <c r="D526" s="90" t="s">
        <v>102</v>
      </c>
      <c r="E526" s="91">
        <v>88.5</v>
      </c>
      <c r="F526" s="11">
        <f>VLOOKUP(A526,'[1]CORREÇÃO DOS ITENS DIVERGENTES'!$A$13:$G$490,7)</f>
        <v>3.9026713024100483</v>
      </c>
      <c r="G526" s="91">
        <f t="shared" si="222"/>
        <v>4.8783391280125601</v>
      </c>
      <c r="H526" s="12">
        <f>E526*G526</f>
        <v>431.73301282911154</v>
      </c>
      <c r="I526" s="22">
        <v>88.5</v>
      </c>
      <c r="J526" s="11">
        <f>F526</f>
        <v>3.9026713024100483</v>
      </c>
      <c r="K526" s="10">
        <f t="shared" ref="K526:K545" si="234">J526*1.2735</f>
        <v>4.970051903619197</v>
      </c>
      <c r="L526" s="12">
        <f>I526*K526</f>
        <v>439.84959347029894</v>
      </c>
      <c r="M526" s="11">
        <v>0</v>
      </c>
      <c r="N526" s="11">
        <f t="shared" ref="N526:N538" si="235">J526</f>
        <v>3.9026713024100483</v>
      </c>
      <c r="O526" s="10">
        <f t="shared" si="227"/>
        <v>4.970051903619197</v>
      </c>
      <c r="P526" s="12">
        <f t="shared" si="232"/>
        <v>0</v>
      </c>
      <c r="Q526" s="148"/>
      <c r="R526" s="74"/>
      <c r="S526" s="47">
        <f>F526-'[1]CORREÇÃO DOS ITENS DIVERGENTES'!$P457</f>
        <v>0</v>
      </c>
      <c r="T526" s="12">
        <f t="shared" si="221"/>
        <v>431.73301282911154</v>
      </c>
      <c r="V526" s="41"/>
    </row>
    <row r="527" spans="1:22" ht="22.5" hidden="1">
      <c r="A527" s="118">
        <v>31002000</v>
      </c>
      <c r="B527" s="89" t="s">
        <v>686</v>
      </c>
      <c r="C527" s="89" t="s">
        <v>687</v>
      </c>
      <c r="D527" s="90" t="s">
        <v>22</v>
      </c>
      <c r="E527" s="91">
        <v>450.59</v>
      </c>
      <c r="F527" s="11">
        <f>VLOOKUP(A527,'[1]CORREÇÃO DOS ITENS DIVERGENTES'!$A$13:$G$490,7)</f>
        <v>5.9604434436808003</v>
      </c>
      <c r="G527" s="91">
        <f t="shared" si="222"/>
        <v>7.4505543046010008</v>
      </c>
      <c r="H527" s="12">
        <f>E527*G527</f>
        <v>3357.1452641101646</v>
      </c>
      <c r="I527" s="22">
        <f>450.59+M527</f>
        <v>458.84</v>
      </c>
      <c r="J527" s="11">
        <f>F527</f>
        <v>5.9604434436808003</v>
      </c>
      <c r="K527" s="10">
        <f t="shared" si="234"/>
        <v>7.5906247255274995</v>
      </c>
      <c r="L527" s="12">
        <f t="shared" ref="L527:L538" si="236">I527*K527</f>
        <v>3482.8822490610378</v>
      </c>
      <c r="M527" s="11">
        <f>458.84-450.59</f>
        <v>8.25</v>
      </c>
      <c r="N527" s="11">
        <f t="shared" si="235"/>
        <v>5.9604434436808003</v>
      </c>
      <c r="O527" s="10">
        <f t="shared" si="227"/>
        <v>7.5906247255274995</v>
      </c>
      <c r="P527" s="12">
        <f t="shared" si="232"/>
        <v>62.622653985601872</v>
      </c>
      <c r="Q527" s="148"/>
      <c r="R527" s="74"/>
      <c r="S527" s="47">
        <f>F527-'[1]CORREÇÃO DOS ITENS DIVERGENTES'!$P458</f>
        <v>0</v>
      </c>
      <c r="T527" s="12">
        <f t="shared" si="221"/>
        <v>3357.1452641101646</v>
      </c>
      <c r="V527" s="41"/>
    </row>
    <row r="528" spans="1:22" ht="22.5">
      <c r="A528" s="118">
        <v>31001000</v>
      </c>
      <c r="B528" s="89">
        <v>41595</v>
      </c>
      <c r="C528" s="89" t="s">
        <v>685</v>
      </c>
      <c r="D528" s="90" t="s">
        <v>102</v>
      </c>
      <c r="E528" s="91">
        <v>88.5</v>
      </c>
      <c r="F528" s="35">
        <v>6.86</v>
      </c>
      <c r="G528" s="91">
        <f t="shared" si="222"/>
        <v>8.5750000000000011</v>
      </c>
      <c r="H528" s="12">
        <f t="shared" ref="H528:H536" si="237">E528*F528</f>
        <v>607.11</v>
      </c>
      <c r="I528" s="22"/>
      <c r="J528" s="11"/>
      <c r="K528" s="10"/>
      <c r="L528" s="12"/>
      <c r="M528" s="11"/>
      <c r="N528" s="11"/>
      <c r="O528" s="10"/>
      <c r="P528" s="12"/>
      <c r="Q528" s="148"/>
      <c r="R528" s="74"/>
      <c r="S528" s="47"/>
      <c r="T528" s="12">
        <f t="shared" ref="T528:T561" si="238">E528*G528</f>
        <v>758.88750000000005</v>
      </c>
      <c r="V528" s="41"/>
    </row>
    <row r="529" spans="1:22" ht="22.5">
      <c r="A529" s="118">
        <v>31002000</v>
      </c>
      <c r="B529" s="89">
        <v>88486</v>
      </c>
      <c r="C529" s="89" t="s">
        <v>687</v>
      </c>
      <c r="D529" s="90" t="s">
        <v>22</v>
      </c>
      <c r="E529" s="91">
        <v>450.59</v>
      </c>
      <c r="F529" s="35">
        <v>6.66</v>
      </c>
      <c r="G529" s="91">
        <f t="shared" si="222"/>
        <v>8.3249999999999993</v>
      </c>
      <c r="H529" s="12">
        <f t="shared" si="237"/>
        <v>3000.9294</v>
      </c>
      <c r="I529" s="22"/>
      <c r="J529" s="11"/>
      <c r="K529" s="10"/>
      <c r="L529" s="12"/>
      <c r="M529" s="11"/>
      <c r="N529" s="11"/>
      <c r="O529" s="10"/>
      <c r="P529" s="12"/>
      <c r="Q529" s="148"/>
      <c r="R529" s="74"/>
      <c r="S529" s="47"/>
      <c r="T529" s="12">
        <f t="shared" si="238"/>
        <v>3751.1617499999993</v>
      </c>
      <c r="V529" s="41"/>
    </row>
    <row r="530" spans="1:22" ht="22.5">
      <c r="A530" s="118">
        <v>31003000</v>
      </c>
      <c r="B530" s="89">
        <v>88489</v>
      </c>
      <c r="C530" s="89" t="s">
        <v>688</v>
      </c>
      <c r="D530" s="90" t="s">
        <v>22</v>
      </c>
      <c r="E530" s="91">
        <f>1021.57+35.12</f>
        <v>1056.69</v>
      </c>
      <c r="F530" s="35">
        <v>7.54</v>
      </c>
      <c r="G530" s="91">
        <f t="shared" si="222"/>
        <v>9.4250000000000007</v>
      </c>
      <c r="H530" s="12">
        <f t="shared" si="237"/>
        <v>7967.4426000000003</v>
      </c>
      <c r="I530" s="22"/>
      <c r="J530" s="11"/>
      <c r="K530" s="10"/>
      <c r="L530" s="12"/>
      <c r="M530" s="11"/>
      <c r="N530" s="11"/>
      <c r="O530" s="10"/>
      <c r="P530" s="12"/>
      <c r="Q530" s="148"/>
      <c r="R530" s="74"/>
      <c r="S530" s="47"/>
      <c r="T530" s="12">
        <f t="shared" si="238"/>
        <v>9959.3032500000008</v>
      </c>
      <c r="V530" s="41"/>
    </row>
    <row r="531" spans="1:22">
      <c r="A531" s="118">
        <v>31004000</v>
      </c>
      <c r="B531" s="89">
        <v>88497</v>
      </c>
      <c r="C531" s="89" t="s">
        <v>689</v>
      </c>
      <c r="D531" s="90" t="s">
        <v>22</v>
      </c>
      <c r="E531" s="91">
        <v>70</v>
      </c>
      <c r="F531" s="35">
        <v>9.9600000000000009</v>
      </c>
      <c r="G531" s="91">
        <f t="shared" ref="G531:G540" si="239">F531*1.25</f>
        <v>12.450000000000001</v>
      </c>
      <c r="H531" s="12">
        <f t="shared" si="237"/>
        <v>697.2</v>
      </c>
      <c r="I531" s="22"/>
      <c r="J531" s="11"/>
      <c r="K531" s="10"/>
      <c r="L531" s="12"/>
      <c r="M531" s="11"/>
      <c r="N531" s="11"/>
      <c r="O531" s="10"/>
      <c r="P531" s="12"/>
      <c r="Q531" s="148"/>
      <c r="R531" s="74"/>
      <c r="S531" s="47"/>
      <c r="T531" s="12">
        <f t="shared" si="238"/>
        <v>871.50000000000011</v>
      </c>
      <c r="V531" s="41"/>
    </row>
    <row r="532" spans="1:22" ht="22.5">
      <c r="A532" s="118">
        <v>31005000</v>
      </c>
      <c r="B532" s="89" t="s">
        <v>690</v>
      </c>
      <c r="C532" s="89" t="s">
        <v>691</v>
      </c>
      <c r="D532" s="90" t="s">
        <v>22</v>
      </c>
      <c r="E532" s="91">
        <v>100</v>
      </c>
      <c r="F532" s="35">
        <v>9.9600000000000009</v>
      </c>
      <c r="G532" s="91">
        <f t="shared" si="239"/>
        <v>12.450000000000001</v>
      </c>
      <c r="H532" s="12">
        <f t="shared" si="237"/>
        <v>996.00000000000011</v>
      </c>
      <c r="I532" s="22"/>
      <c r="J532" s="11"/>
      <c r="K532" s="10"/>
      <c r="L532" s="12"/>
      <c r="M532" s="11"/>
      <c r="N532" s="11"/>
      <c r="O532" s="10"/>
      <c r="P532" s="12"/>
      <c r="Q532" s="148"/>
      <c r="R532" s="74"/>
      <c r="S532" s="47"/>
      <c r="T532" s="12">
        <f t="shared" si="238"/>
        <v>1245</v>
      </c>
      <c r="V532" s="41"/>
    </row>
    <row r="533" spans="1:22" ht="33.75">
      <c r="A533" s="118">
        <v>31006000</v>
      </c>
      <c r="B533" s="89" t="s">
        <v>692</v>
      </c>
      <c r="C533" s="89" t="s">
        <v>693</v>
      </c>
      <c r="D533" s="90" t="s">
        <v>22</v>
      </c>
      <c r="E533" s="91">
        <v>390</v>
      </c>
      <c r="F533" s="35">
        <v>15.24</v>
      </c>
      <c r="G533" s="91">
        <f t="shared" si="239"/>
        <v>19.05</v>
      </c>
      <c r="H533" s="12">
        <f t="shared" si="237"/>
        <v>5943.6</v>
      </c>
      <c r="I533" s="22"/>
      <c r="J533" s="11"/>
      <c r="K533" s="10"/>
      <c r="L533" s="12"/>
      <c r="M533" s="11"/>
      <c r="N533" s="11"/>
      <c r="O533" s="10"/>
      <c r="P533" s="12"/>
      <c r="Q533" s="148"/>
      <c r="R533" s="74"/>
      <c r="S533" s="47"/>
      <c r="T533" s="12">
        <f t="shared" si="238"/>
        <v>7429.5</v>
      </c>
      <c r="V533" s="41"/>
    </row>
    <row r="534" spans="1:22">
      <c r="A534" s="118">
        <v>31007000</v>
      </c>
      <c r="B534" s="89" t="s">
        <v>694</v>
      </c>
      <c r="C534" s="89" t="s">
        <v>695</v>
      </c>
      <c r="D534" s="90" t="s">
        <v>22</v>
      </c>
      <c r="E534" s="91">
        <v>410.67</v>
      </c>
      <c r="F534" s="35">
        <v>8.91</v>
      </c>
      <c r="G534" s="91">
        <f t="shared" si="239"/>
        <v>11.137499999999999</v>
      </c>
      <c r="H534" s="12">
        <f t="shared" si="237"/>
        <v>3659.0697</v>
      </c>
      <c r="I534" s="22"/>
      <c r="J534" s="11"/>
      <c r="K534" s="10"/>
      <c r="L534" s="12"/>
      <c r="M534" s="11"/>
      <c r="N534" s="11"/>
      <c r="O534" s="10"/>
      <c r="P534" s="12"/>
      <c r="Q534" s="148"/>
      <c r="R534" s="74"/>
      <c r="S534" s="47"/>
      <c r="T534" s="12">
        <f t="shared" si="238"/>
        <v>4573.837125</v>
      </c>
      <c r="V534" s="41"/>
    </row>
    <row r="535" spans="1:22" ht="22.5">
      <c r="A535" s="118">
        <v>31008000</v>
      </c>
      <c r="B535" s="89">
        <v>79467</v>
      </c>
      <c r="C535" s="89" t="s">
        <v>696</v>
      </c>
      <c r="D535" s="90" t="s">
        <v>22</v>
      </c>
      <c r="E535" s="91">
        <v>74.2</v>
      </c>
      <c r="F535" s="35">
        <v>8</v>
      </c>
      <c r="G535" s="91">
        <f t="shared" si="239"/>
        <v>10</v>
      </c>
      <c r="H535" s="12">
        <f t="shared" si="237"/>
        <v>593.6</v>
      </c>
      <c r="I535" s="22"/>
      <c r="J535" s="11"/>
      <c r="K535" s="10"/>
      <c r="L535" s="12"/>
      <c r="M535" s="11"/>
      <c r="N535" s="11"/>
      <c r="O535" s="10"/>
      <c r="P535" s="12"/>
      <c r="Q535" s="148"/>
      <c r="R535" s="74"/>
      <c r="S535" s="47"/>
      <c r="T535" s="12">
        <f t="shared" si="238"/>
        <v>742</v>
      </c>
      <c r="V535" s="41"/>
    </row>
    <row r="536" spans="1:22" ht="22.5">
      <c r="A536" s="118">
        <v>31009000</v>
      </c>
      <c r="B536" s="89" t="s">
        <v>697</v>
      </c>
      <c r="C536" s="89" t="s">
        <v>698</v>
      </c>
      <c r="D536" s="90" t="s">
        <v>22</v>
      </c>
      <c r="E536" s="91">
        <v>919.14</v>
      </c>
      <c r="F536" s="35">
        <f>F530</f>
        <v>7.54</v>
      </c>
      <c r="G536" s="91">
        <f t="shared" si="239"/>
        <v>9.4250000000000007</v>
      </c>
      <c r="H536" s="12">
        <f t="shared" si="237"/>
        <v>6930.3155999999999</v>
      </c>
      <c r="I536" s="22"/>
      <c r="J536" s="11"/>
      <c r="K536" s="10"/>
      <c r="L536" s="12"/>
      <c r="M536" s="11"/>
      <c r="N536" s="11"/>
      <c r="O536" s="10"/>
      <c r="P536" s="12"/>
      <c r="Q536" s="148"/>
      <c r="R536" s="74"/>
      <c r="S536" s="47"/>
      <c r="T536" s="12">
        <f t="shared" si="238"/>
        <v>8662.8945000000003</v>
      </c>
      <c r="V536" s="41"/>
    </row>
    <row r="537" spans="1:22" ht="22.5" hidden="1">
      <c r="A537" s="118">
        <v>31010000</v>
      </c>
      <c r="B537" s="89" t="s">
        <v>699</v>
      </c>
      <c r="C537" s="89" t="s">
        <v>700</v>
      </c>
      <c r="D537" s="90" t="s">
        <v>22</v>
      </c>
      <c r="E537" s="91">
        <v>117.73</v>
      </c>
      <c r="F537" s="11">
        <f>VLOOKUP(A537,'[1]CORREÇÃO DOS ITENS DIVERGENTES'!$A$13:$G$490,7)</f>
        <v>9.2067563906855234</v>
      </c>
      <c r="G537" s="91">
        <f t="shared" si="239"/>
        <v>11.508445488356905</v>
      </c>
      <c r="H537" s="12">
        <f>E537*G537</f>
        <v>1354.8892873442585</v>
      </c>
      <c r="I537" s="22">
        <v>117.73</v>
      </c>
      <c r="J537" s="11">
        <f>F537</f>
        <v>9.2067563906855234</v>
      </c>
      <c r="K537" s="10">
        <f t="shared" si="234"/>
        <v>11.724804263538015</v>
      </c>
      <c r="L537" s="12">
        <f t="shared" si="236"/>
        <v>1380.3612059463305</v>
      </c>
      <c r="M537" s="11">
        <v>0</v>
      </c>
      <c r="N537" s="11">
        <f t="shared" si="235"/>
        <v>9.2067563906855234</v>
      </c>
      <c r="O537" s="10">
        <f t="shared" si="227"/>
        <v>11.724804263538015</v>
      </c>
      <c r="P537" s="12">
        <f t="shared" si="232"/>
        <v>0</v>
      </c>
      <c r="Q537" s="148"/>
      <c r="R537" s="74"/>
      <c r="S537" s="47">
        <f>F537-'[1]CORREÇÃO DOS ITENS DIVERGENTES'!$P466</f>
        <v>0</v>
      </c>
      <c r="T537" s="12">
        <f t="shared" si="238"/>
        <v>1354.8892873442585</v>
      </c>
      <c r="V537" s="41"/>
    </row>
    <row r="538" spans="1:22" ht="22.5" hidden="1">
      <c r="A538" s="118">
        <v>31011000</v>
      </c>
      <c r="B538" s="89" t="s">
        <v>701</v>
      </c>
      <c r="C538" s="89" t="s">
        <v>702</v>
      </c>
      <c r="D538" s="90" t="s">
        <v>22</v>
      </c>
      <c r="E538" s="91">
        <f>191.2+35.16</f>
        <v>226.35999999999999</v>
      </c>
      <c r="F538" s="11">
        <f>VLOOKUP(A538,'[1]CORREÇÃO DOS ITENS DIVERGENTES'!$A$13:$G$490,7)</f>
        <v>9.2067563906855234</v>
      </c>
      <c r="G538" s="91">
        <f t="shared" si="239"/>
        <v>11.508445488356905</v>
      </c>
      <c r="H538" s="12">
        <f>E538*G538</f>
        <v>2605.0517207444691</v>
      </c>
      <c r="I538" s="22">
        <f>191.2+35.16</f>
        <v>226.35999999999999</v>
      </c>
      <c r="J538" s="11">
        <f>F538</f>
        <v>9.2067563906855234</v>
      </c>
      <c r="K538" s="10">
        <f t="shared" si="234"/>
        <v>11.724804263538015</v>
      </c>
      <c r="L538" s="12">
        <f t="shared" si="236"/>
        <v>2654.0266930944649</v>
      </c>
      <c r="M538" s="11">
        <v>0</v>
      </c>
      <c r="N538" s="11">
        <f t="shared" si="235"/>
        <v>9.2067563906855234</v>
      </c>
      <c r="O538" s="10">
        <f t="shared" si="227"/>
        <v>11.724804263538015</v>
      </c>
      <c r="P538" s="12">
        <f t="shared" si="232"/>
        <v>0</v>
      </c>
      <c r="Q538" s="148"/>
      <c r="R538" s="74"/>
      <c r="S538" s="47">
        <f>F538-'[1]CORREÇÃO DOS ITENS DIVERGENTES'!$P467</f>
        <v>0</v>
      </c>
      <c r="T538" s="12">
        <f t="shared" si="238"/>
        <v>2605.0517207444691</v>
      </c>
      <c r="V538" s="41"/>
    </row>
    <row r="539" spans="1:22" s="8" customFormat="1" ht="14.25" customHeight="1">
      <c r="A539" s="139">
        <v>32000000</v>
      </c>
      <c r="B539" s="139"/>
      <c r="C539" s="139" t="s">
        <v>703</v>
      </c>
      <c r="D539" s="139"/>
      <c r="E539" s="139"/>
      <c r="F539" s="139"/>
      <c r="G539" s="139"/>
      <c r="H539" s="140">
        <f>H540</f>
        <v>4950</v>
      </c>
      <c r="I539" s="159"/>
      <c r="J539" s="159"/>
      <c r="K539" s="27"/>
      <c r="L539" s="26">
        <f>SUM(L540)</f>
        <v>6303.8250000000007</v>
      </c>
      <c r="M539" s="159">
        <v>0</v>
      </c>
      <c r="N539" s="159"/>
      <c r="O539" s="27"/>
      <c r="P539" s="26">
        <f>SUM(P540)</f>
        <v>0</v>
      </c>
      <c r="Q539" s="160">
        <f>L539+P539</f>
        <v>6303.8250000000007</v>
      </c>
      <c r="R539" s="159"/>
      <c r="S539" s="159"/>
      <c r="T539" s="140">
        <f>T540</f>
        <v>6187.5</v>
      </c>
      <c r="V539" s="42"/>
    </row>
    <row r="540" spans="1:22">
      <c r="A540" s="118">
        <v>32001000</v>
      </c>
      <c r="B540" s="89">
        <v>9537</v>
      </c>
      <c r="C540" s="89" t="s">
        <v>703</v>
      </c>
      <c r="D540" s="90" t="s">
        <v>22</v>
      </c>
      <c r="E540" s="91">
        <v>3000</v>
      </c>
      <c r="F540" s="35">
        <v>1.65</v>
      </c>
      <c r="G540" s="91">
        <f t="shared" si="239"/>
        <v>2.0625</v>
      </c>
      <c r="H540" s="12">
        <f>E540*F540</f>
        <v>4950</v>
      </c>
      <c r="I540" s="22">
        <v>3000</v>
      </c>
      <c r="J540" s="11">
        <f>F540</f>
        <v>1.65</v>
      </c>
      <c r="K540" s="10">
        <f t="shared" si="234"/>
        <v>2.1012750000000002</v>
      </c>
      <c r="L540" s="12">
        <f>I540*K540</f>
        <v>6303.8250000000007</v>
      </c>
      <c r="M540" s="11">
        <v>0</v>
      </c>
      <c r="N540" s="11">
        <f t="shared" ref="N540" si="240">J540</f>
        <v>1.65</v>
      </c>
      <c r="O540" s="10">
        <f t="shared" ref="O540" si="241">N540*1.2735</f>
        <v>2.1012750000000002</v>
      </c>
      <c r="P540" s="12">
        <f t="shared" si="232"/>
        <v>0</v>
      </c>
      <c r="Q540" s="148"/>
      <c r="R540" s="74"/>
      <c r="S540" s="47">
        <f>F540-'[1]CORREÇÃO DOS ITENS DIVERGENTES'!$P469</f>
        <v>0.78076866446321647</v>
      </c>
      <c r="T540" s="12">
        <f t="shared" si="238"/>
        <v>6187.5</v>
      </c>
      <c r="V540" s="36"/>
    </row>
    <row r="541" spans="1:22" s="8" customFormat="1" ht="14.25" hidden="1" customHeight="1">
      <c r="A541" s="126">
        <v>33000000</v>
      </c>
      <c r="B541" s="98"/>
      <c r="C541" s="187" t="s">
        <v>704</v>
      </c>
      <c r="D541" s="187"/>
      <c r="E541" s="187"/>
      <c r="F541" s="187"/>
      <c r="G541" s="142"/>
      <c r="H541" s="87">
        <f>SUM(H542:H561)</f>
        <v>275026.72299790476</v>
      </c>
      <c r="I541" s="84"/>
      <c r="J541" s="159"/>
      <c r="K541" s="27"/>
      <c r="L541" s="26">
        <f>SUM(L542:L561)</f>
        <v>302022.24894233537</v>
      </c>
      <c r="M541" s="159">
        <v>0</v>
      </c>
      <c r="N541" s="159"/>
      <c r="O541" s="27"/>
      <c r="P541" s="26">
        <f>SUM(P542:P561)</f>
        <v>26995.493642865298</v>
      </c>
      <c r="Q541" s="160">
        <f t="shared" si="233"/>
        <v>329017.74258520064</v>
      </c>
      <c r="R541" s="159"/>
      <c r="S541" s="159"/>
      <c r="T541" s="12">
        <f t="shared" si="238"/>
        <v>0</v>
      </c>
      <c r="V541" s="42"/>
    </row>
    <row r="542" spans="1:22" hidden="1">
      <c r="A542" s="118">
        <v>33001000</v>
      </c>
      <c r="B542" s="89" t="s">
        <v>705</v>
      </c>
      <c r="C542" s="89" t="s">
        <v>706</v>
      </c>
      <c r="D542" s="90" t="s">
        <v>707</v>
      </c>
      <c r="E542" s="11">
        <v>1320</v>
      </c>
      <c r="F542" s="11">
        <f>VLOOKUP(A542,'[1]CORREÇÃO DOS ITENS DIVERGENTES'!$A$13:$G$490,7)</f>
        <v>76.297223962116433</v>
      </c>
      <c r="G542" s="91">
        <f t="shared" ref="G542:G545" si="242">F542*1.2735</f>
        <v>97.164514715755288</v>
      </c>
      <c r="H542" s="12">
        <f>E542*G542</f>
        <v>128257.15942479698</v>
      </c>
      <c r="I542" s="22">
        <v>1320</v>
      </c>
      <c r="J542" s="11">
        <f>F542</f>
        <v>76.297223962116433</v>
      </c>
      <c r="K542" s="10">
        <f t="shared" si="234"/>
        <v>97.164514715755288</v>
      </c>
      <c r="L542" s="12">
        <f>I542*K542</f>
        <v>128257.15942479698</v>
      </c>
      <c r="M542" s="11">
        <v>0</v>
      </c>
      <c r="N542" s="11">
        <f t="shared" ref="N542:N545" si="243">J542</f>
        <v>76.297223962116433</v>
      </c>
      <c r="O542" s="10">
        <f t="shared" ref="O542:O545" si="244">N542*1.2735</f>
        <v>97.164514715755288</v>
      </c>
      <c r="P542" s="12">
        <f t="shared" si="232"/>
        <v>0</v>
      </c>
      <c r="Q542" s="74"/>
      <c r="R542" s="74"/>
      <c r="S542" s="47">
        <f>F542-'[1]CORREÇÃO DOS ITENS DIVERGENTES'!$P471</f>
        <v>0</v>
      </c>
      <c r="T542" s="12">
        <f t="shared" si="238"/>
        <v>128257.15942479698</v>
      </c>
      <c r="V542" s="41"/>
    </row>
    <row r="543" spans="1:22" hidden="1">
      <c r="A543" s="118">
        <v>33002000</v>
      </c>
      <c r="B543" s="89" t="s">
        <v>708</v>
      </c>
      <c r="C543" s="89" t="s">
        <v>709</v>
      </c>
      <c r="D543" s="90" t="s">
        <v>707</v>
      </c>
      <c r="E543" s="11">
        <v>220</v>
      </c>
      <c r="F543" s="11">
        <f>VLOOKUP(A543,'[1]CORREÇÃO DOS ITENS DIVERGENTES'!$A$13:$G$490,7)</f>
        <v>76.297223962116433</v>
      </c>
      <c r="G543" s="91">
        <f t="shared" si="242"/>
        <v>97.164514715755288</v>
      </c>
      <c r="H543" s="12">
        <f>E543*G543</f>
        <v>21376.193237466163</v>
      </c>
      <c r="I543" s="22">
        <v>220</v>
      </c>
      <c r="J543" s="11">
        <f>F543</f>
        <v>76.297223962116433</v>
      </c>
      <c r="K543" s="10">
        <f t="shared" si="234"/>
        <v>97.164514715755288</v>
      </c>
      <c r="L543" s="12">
        <f t="shared" ref="L543:L563" si="245">I543*K543</f>
        <v>21376.193237466163</v>
      </c>
      <c r="M543" s="11">
        <v>0</v>
      </c>
      <c r="N543" s="11">
        <f t="shared" si="243"/>
        <v>76.297223962116433</v>
      </c>
      <c r="O543" s="10">
        <f t="shared" si="244"/>
        <v>97.164514715755288</v>
      </c>
      <c r="P543" s="12">
        <f t="shared" si="232"/>
        <v>0</v>
      </c>
      <c r="Q543" s="74"/>
      <c r="R543" s="74"/>
      <c r="S543" s="47">
        <f>F543-'[1]CORREÇÃO DOS ITENS DIVERGENTES'!$P472</f>
        <v>0</v>
      </c>
      <c r="T543" s="12">
        <f t="shared" si="238"/>
        <v>21376.193237466163</v>
      </c>
      <c r="V543" s="41"/>
    </row>
    <row r="544" spans="1:22" hidden="1">
      <c r="A544" s="118">
        <v>33003000</v>
      </c>
      <c r="B544" s="89" t="s">
        <v>710</v>
      </c>
      <c r="C544" s="89" t="s">
        <v>711</v>
      </c>
      <c r="D544" s="90" t="s">
        <v>707</v>
      </c>
      <c r="E544" s="11">
        <v>1320</v>
      </c>
      <c r="F544" s="11">
        <f>VLOOKUP(A544,'[1]CORREÇÃO DOS ITENS DIVERGENTES'!$A$13:$G$490,7)</f>
        <v>29.607083653283503</v>
      </c>
      <c r="G544" s="91">
        <f t="shared" si="242"/>
        <v>37.704621032456544</v>
      </c>
      <c r="H544" s="12">
        <f>E544*G544</f>
        <v>49770.099762842641</v>
      </c>
      <c r="I544" s="22">
        <f>1320+M544</f>
        <v>1760</v>
      </c>
      <c r="J544" s="11">
        <f>F544</f>
        <v>29.607083653283503</v>
      </c>
      <c r="K544" s="10">
        <f t="shared" si="234"/>
        <v>37.704621032456544</v>
      </c>
      <c r="L544" s="12">
        <f t="shared" si="245"/>
        <v>66360.133017123517</v>
      </c>
      <c r="M544" s="11">
        <v>440</v>
      </c>
      <c r="N544" s="11">
        <f t="shared" si="243"/>
        <v>29.607083653283503</v>
      </c>
      <c r="O544" s="10">
        <f t="shared" si="244"/>
        <v>37.704621032456544</v>
      </c>
      <c r="P544" s="12">
        <f t="shared" si="232"/>
        <v>16590.033254280879</v>
      </c>
      <c r="Q544" s="74"/>
      <c r="R544" s="74"/>
      <c r="S544" s="47">
        <f>F544-'[1]CORREÇÃO DOS ITENS DIVERGENTES'!$P473</f>
        <v>0</v>
      </c>
      <c r="T544" s="12">
        <f t="shared" si="238"/>
        <v>49770.099762842641</v>
      </c>
      <c r="V544" s="41"/>
    </row>
    <row r="545" spans="1:22" hidden="1">
      <c r="A545" s="118">
        <v>33004000</v>
      </c>
      <c r="B545" s="89" t="s">
        <v>712</v>
      </c>
      <c r="C545" s="89" t="s">
        <v>713</v>
      </c>
      <c r="D545" s="90" t="s">
        <v>707</v>
      </c>
      <c r="E545" s="11">
        <v>2640</v>
      </c>
      <c r="F545" s="11">
        <f>VLOOKUP(A545,'[1]CORREÇÃO DOS ITENS DIVERGENTES'!$A$13:$G$490,7)</f>
        <v>6.6966291666354234</v>
      </c>
      <c r="G545" s="91">
        <f t="shared" si="242"/>
        <v>8.5281572437102113</v>
      </c>
      <c r="H545" s="12">
        <f>E545*G545</f>
        <v>22514.335123394958</v>
      </c>
      <c r="I545" s="22">
        <f>2640+M545</f>
        <v>3660</v>
      </c>
      <c r="J545" s="11">
        <f>F545</f>
        <v>6.6966291666354234</v>
      </c>
      <c r="K545" s="10">
        <f t="shared" si="234"/>
        <v>8.5281572437102113</v>
      </c>
      <c r="L545" s="12">
        <f t="shared" si="245"/>
        <v>31213.055511979372</v>
      </c>
      <c r="M545" s="11">
        <v>1020</v>
      </c>
      <c r="N545" s="11">
        <f t="shared" si="243"/>
        <v>6.6966291666354234</v>
      </c>
      <c r="O545" s="10">
        <f t="shared" si="244"/>
        <v>8.5281572437102113</v>
      </c>
      <c r="P545" s="12">
        <f t="shared" si="232"/>
        <v>8698.7203885844156</v>
      </c>
      <c r="Q545" s="74"/>
      <c r="R545" s="74"/>
      <c r="S545" s="47">
        <f>F545-'[1]CORREÇÃO DOS ITENS DIVERGENTES'!$P474</f>
        <v>0</v>
      </c>
      <c r="T545" s="12">
        <f t="shared" si="238"/>
        <v>22514.335123394958</v>
      </c>
      <c r="V545" s="41"/>
    </row>
    <row r="546" spans="1:22" hidden="1">
      <c r="A546" s="118">
        <v>33005000</v>
      </c>
      <c r="B546" s="89" t="s">
        <v>714</v>
      </c>
      <c r="C546" s="136" t="s">
        <v>715</v>
      </c>
      <c r="D546" s="90"/>
      <c r="E546" s="11"/>
      <c r="F546" s="11"/>
      <c r="G546" s="91"/>
      <c r="H546" s="12"/>
      <c r="I546" s="22"/>
      <c r="J546" s="39"/>
      <c r="K546" s="10"/>
      <c r="L546" s="48"/>
      <c r="M546" s="39"/>
      <c r="N546" s="39"/>
      <c r="O546" s="10"/>
      <c r="P546" s="48"/>
      <c r="Q546" s="74"/>
      <c r="R546" s="74"/>
      <c r="S546" s="47">
        <f>F546-'[1]CORREÇÃO DOS ITENS DIVERGENTES'!$P475</f>
        <v>0</v>
      </c>
      <c r="T546" s="12">
        <f t="shared" si="238"/>
        <v>0</v>
      </c>
      <c r="V546" s="41"/>
    </row>
    <row r="547" spans="1:22" ht="22.5" hidden="1">
      <c r="A547" s="118">
        <v>33006000</v>
      </c>
      <c r="B547" s="89" t="s">
        <v>716</v>
      </c>
      <c r="C547" s="89" t="s">
        <v>717</v>
      </c>
      <c r="D547" s="90" t="s">
        <v>718</v>
      </c>
      <c r="E547" s="11">
        <v>25</v>
      </c>
      <c r="F547" s="11">
        <f>VLOOKUP(A547,'[1]CORREÇÃO DOS ITENS DIVERGENTES'!$A$13:$G$490,7)</f>
        <v>26.928431986629331</v>
      </c>
      <c r="G547" s="91">
        <f t="shared" ref="G547:G561" si="246">F547*1.2735</f>
        <v>34.293358134972458</v>
      </c>
      <c r="H547" s="12">
        <f t="shared" ref="H547:H561" si="247">E547*G547</f>
        <v>857.33395337431148</v>
      </c>
      <c r="I547" s="22">
        <v>25</v>
      </c>
      <c r="J547" s="11">
        <f t="shared" ref="J547:J561" si="248">F547</f>
        <v>26.928431986629331</v>
      </c>
      <c r="K547" s="10">
        <f t="shared" ref="K547:K561" si="249">J547*1.2735</f>
        <v>34.293358134972458</v>
      </c>
      <c r="L547" s="12">
        <f t="shared" si="245"/>
        <v>857.33395337431148</v>
      </c>
      <c r="M547" s="11">
        <v>0</v>
      </c>
      <c r="N547" s="11">
        <f t="shared" ref="N547:N561" si="250">J547</f>
        <v>26.928431986629331</v>
      </c>
      <c r="O547" s="10">
        <f t="shared" ref="O547:O561" si="251">N547*1.2735</f>
        <v>34.293358134972458</v>
      </c>
      <c r="P547" s="12">
        <f>M547*O547</f>
        <v>0</v>
      </c>
      <c r="Q547" s="74"/>
      <c r="R547" s="74"/>
      <c r="S547" s="47">
        <f>F547-'[1]CORREÇÃO DOS ITENS DIVERGENTES'!$P476</f>
        <v>0</v>
      </c>
      <c r="T547" s="12">
        <f t="shared" si="238"/>
        <v>857.33395337431148</v>
      </c>
      <c r="V547" s="41"/>
    </row>
    <row r="548" spans="1:22" ht="22.5" hidden="1">
      <c r="A548" s="118">
        <v>33007000</v>
      </c>
      <c r="B548" s="89" t="s">
        <v>719</v>
      </c>
      <c r="C548" s="89" t="s">
        <v>720</v>
      </c>
      <c r="D548" s="90" t="s">
        <v>718</v>
      </c>
      <c r="E548" s="11">
        <v>25</v>
      </c>
      <c r="F548" s="11">
        <f>VLOOKUP(A548,'[1]CORREÇÃO DOS ITENS DIVERGENTES'!$A$13:$G$490,7)</f>
        <v>28.054884839824958</v>
      </c>
      <c r="G548" s="91">
        <f t="shared" si="246"/>
        <v>35.727895843517082</v>
      </c>
      <c r="H548" s="12">
        <f t="shared" si="247"/>
        <v>893.19739608792702</v>
      </c>
      <c r="I548" s="22">
        <v>25</v>
      </c>
      <c r="J548" s="11">
        <f t="shared" si="248"/>
        <v>28.054884839824958</v>
      </c>
      <c r="K548" s="10">
        <f t="shared" si="249"/>
        <v>35.727895843517082</v>
      </c>
      <c r="L548" s="12">
        <f t="shared" si="245"/>
        <v>893.19739608792702</v>
      </c>
      <c r="M548" s="11">
        <v>0</v>
      </c>
      <c r="N548" s="11">
        <f t="shared" si="250"/>
        <v>28.054884839824958</v>
      </c>
      <c r="O548" s="10">
        <f t="shared" si="251"/>
        <v>35.727895843517082</v>
      </c>
      <c r="P548" s="12">
        <f t="shared" ref="P548:P561" si="252">M548*O548</f>
        <v>0</v>
      </c>
      <c r="Q548" s="74"/>
      <c r="R548" s="74"/>
      <c r="S548" s="47">
        <f>F548-'[1]CORREÇÃO DOS ITENS DIVERGENTES'!$P477</f>
        <v>0</v>
      </c>
      <c r="T548" s="12">
        <f t="shared" si="238"/>
        <v>893.19739608792702</v>
      </c>
      <c r="V548" s="41"/>
    </row>
    <row r="549" spans="1:22" ht="22.5" hidden="1">
      <c r="A549" s="118">
        <v>33008000</v>
      </c>
      <c r="B549" s="89" t="s">
        <v>721</v>
      </c>
      <c r="C549" s="89" t="s">
        <v>722</v>
      </c>
      <c r="D549" s="90" t="s">
        <v>19</v>
      </c>
      <c r="E549" s="11">
        <v>20</v>
      </c>
      <c r="F549" s="11">
        <f>VLOOKUP(A549,'[1]CORREÇÃO DOS ITENS DIVERGENTES'!$A$13:$G$490,7)</f>
        <v>11.752362444757532</v>
      </c>
      <c r="G549" s="91">
        <f t="shared" si="246"/>
        <v>14.966633573398719</v>
      </c>
      <c r="H549" s="12">
        <f t="shared" si="247"/>
        <v>299.33267146797436</v>
      </c>
      <c r="I549" s="22">
        <v>20</v>
      </c>
      <c r="J549" s="11">
        <f t="shared" si="248"/>
        <v>11.752362444757532</v>
      </c>
      <c r="K549" s="10">
        <f t="shared" si="249"/>
        <v>14.966633573398719</v>
      </c>
      <c r="L549" s="12">
        <f t="shared" si="245"/>
        <v>299.33267146797436</v>
      </c>
      <c r="M549" s="11">
        <v>0</v>
      </c>
      <c r="N549" s="11">
        <f t="shared" si="250"/>
        <v>11.752362444757532</v>
      </c>
      <c r="O549" s="10">
        <f t="shared" si="251"/>
        <v>14.966633573398719</v>
      </c>
      <c r="P549" s="12">
        <f t="shared" si="252"/>
        <v>0</v>
      </c>
      <c r="Q549" s="74"/>
      <c r="R549" s="74"/>
      <c r="S549" s="47">
        <f>F549-'[1]CORREÇÃO DOS ITENS DIVERGENTES'!$P478</f>
        <v>0</v>
      </c>
      <c r="T549" s="12">
        <f t="shared" si="238"/>
        <v>299.33267146797436</v>
      </c>
      <c r="V549" s="41"/>
    </row>
    <row r="550" spans="1:22" hidden="1">
      <c r="A550" s="118">
        <v>33009000</v>
      </c>
      <c r="B550" s="89" t="s">
        <v>723</v>
      </c>
      <c r="C550" s="89" t="s">
        <v>724</v>
      </c>
      <c r="D550" s="90" t="s">
        <v>19</v>
      </c>
      <c r="E550" s="11">
        <v>20</v>
      </c>
      <c r="F550" s="11">
        <f>VLOOKUP(A550,'[1]CORREÇÃO DOS ITENS DIVERGENTES'!$A$13:$G$490,7)</f>
        <v>9.7566782560251202</v>
      </c>
      <c r="G550" s="91">
        <f t="shared" si="246"/>
        <v>12.425129759047991</v>
      </c>
      <c r="H550" s="12">
        <f t="shared" si="247"/>
        <v>248.50259518095982</v>
      </c>
      <c r="I550" s="22">
        <v>20</v>
      </c>
      <c r="J550" s="11">
        <f t="shared" si="248"/>
        <v>9.7566782560251202</v>
      </c>
      <c r="K550" s="10">
        <f t="shared" si="249"/>
        <v>12.425129759047991</v>
      </c>
      <c r="L550" s="12">
        <f t="shared" si="245"/>
        <v>248.50259518095982</v>
      </c>
      <c r="M550" s="11">
        <v>0</v>
      </c>
      <c r="N550" s="11">
        <f t="shared" si="250"/>
        <v>9.7566782560251202</v>
      </c>
      <c r="O550" s="10">
        <f t="shared" si="251"/>
        <v>12.425129759047991</v>
      </c>
      <c r="P550" s="12">
        <f t="shared" si="252"/>
        <v>0</v>
      </c>
      <c r="Q550" s="74"/>
      <c r="R550" s="74"/>
      <c r="S550" s="47">
        <f>F550-'[1]CORREÇÃO DOS ITENS DIVERGENTES'!$P479</f>
        <v>0</v>
      </c>
      <c r="T550" s="12">
        <f t="shared" si="238"/>
        <v>248.50259518095982</v>
      </c>
      <c r="V550" s="41"/>
    </row>
    <row r="551" spans="1:22" hidden="1">
      <c r="A551" s="118">
        <v>33010000</v>
      </c>
      <c r="B551" s="89" t="s">
        <v>725</v>
      </c>
      <c r="C551" s="89" t="s">
        <v>726</v>
      </c>
      <c r="D551" s="90" t="s">
        <v>19</v>
      </c>
      <c r="E551" s="11">
        <v>5</v>
      </c>
      <c r="F551" s="11">
        <f>VLOOKUP(A551,'[1]CORREÇÃO DOS ITENS DIVERGENTES'!$A$13:$G$490,7)</f>
        <v>35.629615049502647</v>
      </c>
      <c r="G551" s="91">
        <f t="shared" si="246"/>
        <v>45.374314765541627</v>
      </c>
      <c r="H551" s="12">
        <f t="shared" si="247"/>
        <v>226.87157382770812</v>
      </c>
      <c r="I551" s="22">
        <v>5</v>
      </c>
      <c r="J551" s="11">
        <f t="shared" si="248"/>
        <v>35.629615049502647</v>
      </c>
      <c r="K551" s="10">
        <f t="shared" si="249"/>
        <v>45.374314765541627</v>
      </c>
      <c r="L551" s="12">
        <f t="shared" si="245"/>
        <v>226.87157382770812</v>
      </c>
      <c r="M551" s="11">
        <v>0</v>
      </c>
      <c r="N551" s="11">
        <f t="shared" si="250"/>
        <v>35.629615049502647</v>
      </c>
      <c r="O551" s="10">
        <f t="shared" si="251"/>
        <v>45.374314765541627</v>
      </c>
      <c r="P551" s="12">
        <f t="shared" si="252"/>
        <v>0</v>
      </c>
      <c r="Q551" s="74"/>
      <c r="R551" s="74"/>
      <c r="S551" s="47">
        <f>F551-'[1]CORREÇÃO DOS ITENS DIVERGENTES'!$P480</f>
        <v>0</v>
      </c>
      <c r="T551" s="12">
        <f t="shared" si="238"/>
        <v>226.87157382770812</v>
      </c>
      <c r="V551" s="41"/>
    </row>
    <row r="552" spans="1:22" ht="22.5" hidden="1">
      <c r="A552" s="118">
        <v>33011000</v>
      </c>
      <c r="B552" s="89" t="s">
        <v>727</v>
      </c>
      <c r="C552" s="89" t="s">
        <v>728</v>
      </c>
      <c r="D552" s="90" t="s">
        <v>718</v>
      </c>
      <c r="E552" s="11">
        <v>24</v>
      </c>
      <c r="F552" s="11">
        <f>VLOOKUP(A552,'[1]CORREÇÃO DOS ITENS DIVERGENTES'!$A$13:$G$490,7)</f>
        <v>2.1908177538529134</v>
      </c>
      <c r="G552" s="91">
        <f t="shared" si="246"/>
        <v>2.7900064095316854</v>
      </c>
      <c r="H552" s="12">
        <f t="shared" si="247"/>
        <v>66.960153828760454</v>
      </c>
      <c r="I552" s="22">
        <v>24</v>
      </c>
      <c r="J552" s="11">
        <f t="shared" si="248"/>
        <v>2.1908177538529134</v>
      </c>
      <c r="K552" s="10">
        <f t="shared" si="249"/>
        <v>2.7900064095316854</v>
      </c>
      <c r="L552" s="12">
        <f t="shared" si="245"/>
        <v>66.960153828760454</v>
      </c>
      <c r="M552" s="11">
        <v>0</v>
      </c>
      <c r="N552" s="11">
        <f t="shared" si="250"/>
        <v>2.1908177538529134</v>
      </c>
      <c r="O552" s="10">
        <f t="shared" si="251"/>
        <v>2.7900064095316854</v>
      </c>
      <c r="P552" s="12">
        <f t="shared" si="252"/>
        <v>0</v>
      </c>
      <c r="Q552" s="74"/>
      <c r="R552" s="74"/>
      <c r="S552" s="47">
        <f>F552-'[1]CORREÇÃO DOS ITENS DIVERGENTES'!$P481</f>
        <v>0</v>
      </c>
      <c r="T552" s="12">
        <f t="shared" si="238"/>
        <v>66.960153828760454</v>
      </c>
      <c r="V552" s="41"/>
    </row>
    <row r="553" spans="1:22" ht="22.5" hidden="1">
      <c r="A553" s="118">
        <v>33012000</v>
      </c>
      <c r="B553" s="89" t="s">
        <v>729</v>
      </c>
      <c r="C553" s="89" t="s">
        <v>730</v>
      </c>
      <c r="D553" s="90" t="s">
        <v>19</v>
      </c>
      <c r="E553" s="11">
        <v>10</v>
      </c>
      <c r="F553" s="11">
        <f>VLOOKUP(A553,'[1]CORREÇÃO DOS ITENS DIVERGENTES'!$A$13:$G$490,7)</f>
        <v>1.8626385761502504</v>
      </c>
      <c r="G553" s="91">
        <f t="shared" si="246"/>
        <v>2.3720702267273439</v>
      </c>
      <c r="H553" s="12">
        <f t="shared" si="247"/>
        <v>23.720702267273438</v>
      </c>
      <c r="I553" s="22">
        <v>10</v>
      </c>
      <c r="J553" s="11">
        <f t="shared" si="248"/>
        <v>1.8626385761502504</v>
      </c>
      <c r="K553" s="10">
        <f t="shared" si="249"/>
        <v>2.3720702267273439</v>
      </c>
      <c r="L553" s="12">
        <f t="shared" si="245"/>
        <v>23.720702267273438</v>
      </c>
      <c r="M553" s="11">
        <v>0</v>
      </c>
      <c r="N553" s="11">
        <f t="shared" si="250"/>
        <v>1.8626385761502504</v>
      </c>
      <c r="O553" s="10">
        <f t="shared" si="251"/>
        <v>2.3720702267273439</v>
      </c>
      <c r="P553" s="12">
        <f t="shared" si="252"/>
        <v>0</v>
      </c>
      <c r="Q553" s="74"/>
      <c r="R553" s="74"/>
      <c r="S553" s="47">
        <f>F553-'[1]CORREÇÃO DOS ITENS DIVERGENTES'!$P482</f>
        <v>0</v>
      </c>
      <c r="T553" s="12">
        <f t="shared" si="238"/>
        <v>23.720702267273438</v>
      </c>
      <c r="V553" s="41"/>
    </row>
    <row r="554" spans="1:22" hidden="1">
      <c r="A554" s="118">
        <v>33013000</v>
      </c>
      <c r="B554" s="89" t="s">
        <v>731</v>
      </c>
      <c r="C554" s="89" t="s">
        <v>732</v>
      </c>
      <c r="D554" s="90" t="s">
        <v>19</v>
      </c>
      <c r="E554" s="11">
        <v>24</v>
      </c>
      <c r="F554" s="11">
        <f>VLOOKUP(A554,'[1]CORREÇÃO DOS ITENS DIVERGENTES'!$A$13:$G$490,7)</f>
        <v>26.609122516432148</v>
      </c>
      <c r="G554" s="91">
        <f t="shared" si="246"/>
        <v>33.886717524676342</v>
      </c>
      <c r="H554" s="12">
        <f t="shared" si="247"/>
        <v>813.28122059223222</v>
      </c>
      <c r="I554" s="22">
        <v>24</v>
      </c>
      <c r="J554" s="11">
        <f t="shared" si="248"/>
        <v>26.609122516432148</v>
      </c>
      <c r="K554" s="10">
        <f t="shared" si="249"/>
        <v>33.886717524676342</v>
      </c>
      <c r="L554" s="12">
        <f t="shared" si="245"/>
        <v>813.28122059223222</v>
      </c>
      <c r="M554" s="11">
        <v>0</v>
      </c>
      <c r="N554" s="11">
        <f t="shared" si="250"/>
        <v>26.609122516432148</v>
      </c>
      <c r="O554" s="10">
        <f t="shared" si="251"/>
        <v>33.886717524676342</v>
      </c>
      <c r="P554" s="12">
        <f t="shared" si="252"/>
        <v>0</v>
      </c>
      <c r="Q554" s="74"/>
      <c r="R554" s="74"/>
      <c r="S554" s="47">
        <f>F554-'[1]CORREÇÃO DOS ITENS DIVERGENTES'!$P483</f>
        <v>0</v>
      </c>
      <c r="T554" s="12">
        <f t="shared" si="238"/>
        <v>813.28122059223222</v>
      </c>
      <c r="V554" s="41"/>
    </row>
    <row r="555" spans="1:22" ht="22.5" hidden="1">
      <c r="A555" s="118">
        <v>33014000</v>
      </c>
      <c r="B555" s="89" t="s">
        <v>733</v>
      </c>
      <c r="C555" s="89" t="s">
        <v>734</v>
      </c>
      <c r="D555" s="90" t="s">
        <v>19</v>
      </c>
      <c r="E555" s="11">
        <v>1</v>
      </c>
      <c r="F555" s="11">
        <v>1330.4561258216074</v>
      </c>
      <c r="G555" s="91">
        <f t="shared" si="246"/>
        <v>1694.3358762338171</v>
      </c>
      <c r="H555" s="12">
        <f t="shared" si="247"/>
        <v>1694.3358762338171</v>
      </c>
      <c r="I555" s="22">
        <v>1</v>
      </c>
      <c r="J555" s="11">
        <f t="shared" si="248"/>
        <v>1330.4561258216074</v>
      </c>
      <c r="K555" s="10">
        <f t="shared" si="249"/>
        <v>1694.3358762338171</v>
      </c>
      <c r="L555" s="12">
        <f t="shared" si="245"/>
        <v>1694.3358762338171</v>
      </c>
      <c r="M555" s="11">
        <v>0</v>
      </c>
      <c r="N555" s="11">
        <f t="shared" si="250"/>
        <v>1330.4561258216074</v>
      </c>
      <c r="O555" s="10">
        <f t="shared" si="251"/>
        <v>1694.3358762338171</v>
      </c>
      <c r="P555" s="12">
        <f t="shared" si="252"/>
        <v>0</v>
      </c>
      <c r="Q555" s="74"/>
      <c r="R555" s="74"/>
      <c r="S555" s="47">
        <f>F555-'[1]CORREÇÃO DOS ITENS DIVERGENTES'!$P484</f>
        <v>0</v>
      </c>
      <c r="T555" s="12">
        <f t="shared" si="238"/>
        <v>1694.3358762338171</v>
      </c>
      <c r="V555" s="41"/>
    </row>
    <row r="556" spans="1:22" ht="22.5" hidden="1">
      <c r="A556" s="118">
        <v>33015000</v>
      </c>
      <c r="B556" s="89" t="s">
        <v>735</v>
      </c>
      <c r="C556" s="89" t="s">
        <v>736</v>
      </c>
      <c r="D556" s="90" t="s">
        <v>19</v>
      </c>
      <c r="E556" s="11">
        <v>6</v>
      </c>
      <c r="F556" s="11">
        <v>133.04561258216074</v>
      </c>
      <c r="G556" s="91">
        <f t="shared" si="246"/>
        <v>169.43358762338173</v>
      </c>
      <c r="H556" s="12">
        <f t="shared" si="247"/>
        <v>1016.6015257402903</v>
      </c>
      <c r="I556" s="22">
        <v>6</v>
      </c>
      <c r="J556" s="11">
        <f t="shared" si="248"/>
        <v>133.04561258216074</v>
      </c>
      <c r="K556" s="10">
        <f t="shared" si="249"/>
        <v>169.43358762338173</v>
      </c>
      <c r="L556" s="12">
        <f t="shared" si="245"/>
        <v>1016.6015257402903</v>
      </c>
      <c r="M556" s="11">
        <v>0</v>
      </c>
      <c r="N556" s="11">
        <f t="shared" si="250"/>
        <v>133.04561258216074</v>
      </c>
      <c r="O556" s="10">
        <f t="shared" si="251"/>
        <v>169.43358762338173</v>
      </c>
      <c r="P556" s="12">
        <f t="shared" si="252"/>
        <v>0</v>
      </c>
      <c r="Q556" s="74"/>
      <c r="R556" s="74"/>
      <c r="S556" s="47">
        <f>F556-'[1]CORREÇÃO DOS ITENS DIVERGENTES'!$P485</f>
        <v>0</v>
      </c>
      <c r="T556" s="12">
        <f t="shared" si="238"/>
        <v>1016.6015257402903</v>
      </c>
      <c r="V556" s="41"/>
    </row>
    <row r="557" spans="1:22" ht="22.5" hidden="1">
      <c r="A557" s="118">
        <v>33016000</v>
      </c>
      <c r="B557" s="89" t="s">
        <v>737</v>
      </c>
      <c r="C557" s="89" t="s">
        <v>738</v>
      </c>
      <c r="D557" s="90" t="s">
        <v>19</v>
      </c>
      <c r="E557" s="11">
        <v>20</v>
      </c>
      <c r="F557" s="11">
        <v>13.304561258216074</v>
      </c>
      <c r="G557" s="91">
        <f t="shared" si="246"/>
        <v>16.943358762338171</v>
      </c>
      <c r="H557" s="12">
        <f t="shared" si="247"/>
        <v>338.8671752467634</v>
      </c>
      <c r="I557" s="22">
        <v>20</v>
      </c>
      <c r="J557" s="11">
        <f t="shared" si="248"/>
        <v>13.304561258216074</v>
      </c>
      <c r="K557" s="10">
        <f t="shared" si="249"/>
        <v>16.943358762338171</v>
      </c>
      <c r="L557" s="12">
        <f t="shared" si="245"/>
        <v>338.8671752467634</v>
      </c>
      <c r="M557" s="11">
        <v>0</v>
      </c>
      <c r="N557" s="11">
        <f t="shared" si="250"/>
        <v>13.304561258216074</v>
      </c>
      <c r="O557" s="10">
        <f t="shared" si="251"/>
        <v>16.943358762338171</v>
      </c>
      <c r="P557" s="12">
        <f t="shared" si="252"/>
        <v>0</v>
      </c>
      <c r="Q557" s="74"/>
      <c r="R557" s="74"/>
      <c r="S557" s="47">
        <f>F557-'[1]CORREÇÃO DOS ITENS DIVERGENTES'!$P486</f>
        <v>0</v>
      </c>
      <c r="T557" s="12">
        <f t="shared" si="238"/>
        <v>338.8671752467634</v>
      </c>
      <c r="V557" s="41"/>
    </row>
    <row r="558" spans="1:22" hidden="1">
      <c r="A558" s="118">
        <v>33006000</v>
      </c>
      <c r="B558" s="89" t="s">
        <v>739</v>
      </c>
      <c r="C558" s="89" t="s">
        <v>740</v>
      </c>
      <c r="D558" s="90" t="s">
        <v>19</v>
      </c>
      <c r="E558" s="11">
        <v>3000</v>
      </c>
      <c r="F558" s="11">
        <v>5.3129547957809518</v>
      </c>
      <c r="G558" s="91">
        <f t="shared" si="246"/>
        <v>6.7660479324270426</v>
      </c>
      <c r="H558" s="12">
        <f t="shared" si="247"/>
        <v>20298.143797281129</v>
      </c>
      <c r="I558" s="22">
        <f>3000+M558</f>
        <v>3159</v>
      </c>
      <c r="J558" s="11">
        <f t="shared" si="248"/>
        <v>5.3129547957809518</v>
      </c>
      <c r="K558" s="10">
        <f t="shared" si="249"/>
        <v>6.7660479324270426</v>
      </c>
      <c r="L558" s="12">
        <f t="shared" si="245"/>
        <v>21373.945418537027</v>
      </c>
      <c r="M558" s="11">
        <v>159</v>
      </c>
      <c r="N558" s="11">
        <f t="shared" si="250"/>
        <v>5.3129547957809518</v>
      </c>
      <c r="O558" s="10">
        <f t="shared" si="251"/>
        <v>6.7660479324270426</v>
      </c>
      <c r="P558" s="53">
        <v>1075.7750000000001</v>
      </c>
      <c r="Q558" s="74"/>
      <c r="R558" s="74"/>
      <c r="S558" s="47">
        <f>F558-'[1]CORREÇÃO DOS ITENS DIVERGENTES'!$P487</f>
        <v>0</v>
      </c>
      <c r="T558" s="12">
        <f t="shared" si="238"/>
        <v>20298.143797281129</v>
      </c>
      <c r="V558" s="41"/>
    </row>
    <row r="559" spans="1:22" hidden="1">
      <c r="A559" s="118">
        <v>33007000</v>
      </c>
      <c r="B559" s="89" t="s">
        <v>741</v>
      </c>
      <c r="C559" s="89" t="s">
        <v>742</v>
      </c>
      <c r="D559" s="90" t="s">
        <v>19</v>
      </c>
      <c r="E559" s="11">
        <v>3000</v>
      </c>
      <c r="F559" s="11">
        <v>3.5390132946854758</v>
      </c>
      <c r="G559" s="91">
        <f t="shared" si="246"/>
        <v>4.5069334307819533</v>
      </c>
      <c r="H559" s="12">
        <f t="shared" si="247"/>
        <v>13520.800292345861</v>
      </c>
      <c r="I559" s="22">
        <f>3000+M559</f>
        <v>3140</v>
      </c>
      <c r="J559" s="11">
        <f t="shared" si="248"/>
        <v>3.5390132946854758</v>
      </c>
      <c r="K559" s="10">
        <f t="shared" si="249"/>
        <v>4.5069334307819533</v>
      </c>
      <c r="L559" s="12">
        <f t="shared" si="245"/>
        <v>14151.770972655333</v>
      </c>
      <c r="M559" s="11">
        <v>140</v>
      </c>
      <c r="N559" s="11">
        <f t="shared" si="250"/>
        <v>3.5390132946854758</v>
      </c>
      <c r="O559" s="10">
        <f t="shared" si="251"/>
        <v>4.5069334307819533</v>
      </c>
      <c r="P559" s="12">
        <v>630.96500000000003</v>
      </c>
      <c r="Q559" s="74"/>
      <c r="R559" s="74"/>
      <c r="S559" s="47">
        <f>F559-'[1]CORREÇÃO DOS ITENS DIVERGENTES'!$P488</f>
        <v>0</v>
      </c>
      <c r="T559" s="12">
        <f t="shared" si="238"/>
        <v>13520.800292345861</v>
      </c>
      <c r="V559" s="41"/>
    </row>
    <row r="560" spans="1:22" hidden="1">
      <c r="A560" s="118">
        <v>33008000</v>
      </c>
      <c r="B560" s="89" t="s">
        <v>743</v>
      </c>
      <c r="C560" s="89" t="s">
        <v>744</v>
      </c>
      <c r="D560" s="90" t="s">
        <v>19</v>
      </c>
      <c r="E560" s="11">
        <v>1</v>
      </c>
      <c r="F560" s="11">
        <v>3991.3683774648221</v>
      </c>
      <c r="G560" s="91">
        <f t="shared" si="246"/>
        <v>5083.0076287014508</v>
      </c>
      <c r="H560" s="12">
        <f t="shared" si="247"/>
        <v>5083.0076287014508</v>
      </c>
      <c r="I560" s="22">
        <v>1</v>
      </c>
      <c r="J560" s="11">
        <f t="shared" si="248"/>
        <v>3991.3683774648221</v>
      </c>
      <c r="K560" s="10">
        <f t="shared" si="249"/>
        <v>5083.0076287014508</v>
      </c>
      <c r="L560" s="12">
        <f t="shared" si="245"/>
        <v>5083.0076287014508</v>
      </c>
      <c r="M560" s="11">
        <v>0</v>
      </c>
      <c r="N560" s="11">
        <f t="shared" si="250"/>
        <v>3991.3683774648221</v>
      </c>
      <c r="O560" s="10">
        <f t="shared" si="251"/>
        <v>5083.0076287014508</v>
      </c>
      <c r="P560" s="12">
        <f t="shared" si="252"/>
        <v>0</v>
      </c>
      <c r="Q560" s="74"/>
      <c r="R560" s="74"/>
      <c r="S560" s="47">
        <f>F560-'[1]CORREÇÃO DOS ITENS DIVERGENTES'!$P489</f>
        <v>0</v>
      </c>
      <c r="T560" s="12">
        <f t="shared" si="238"/>
        <v>5083.0076287014508</v>
      </c>
      <c r="V560" s="41"/>
    </row>
    <row r="561" spans="1:22" ht="22.5" hidden="1">
      <c r="A561" s="118">
        <v>33009000</v>
      </c>
      <c r="B561" s="94">
        <v>73585</v>
      </c>
      <c r="C561" s="89" t="s">
        <v>745</v>
      </c>
      <c r="D561" s="90" t="s">
        <v>746</v>
      </c>
      <c r="E561" s="11">
        <v>80</v>
      </c>
      <c r="F561" s="11">
        <v>75.853738586842567</v>
      </c>
      <c r="G561" s="91">
        <f t="shared" si="246"/>
        <v>96.59973609034401</v>
      </c>
      <c r="H561" s="12">
        <f t="shared" si="247"/>
        <v>7727.9788872275203</v>
      </c>
      <c r="I561" s="22">
        <v>80</v>
      </c>
      <c r="J561" s="11">
        <f t="shared" si="248"/>
        <v>75.853738586842567</v>
      </c>
      <c r="K561" s="10">
        <f t="shared" si="249"/>
        <v>96.59973609034401</v>
      </c>
      <c r="L561" s="12">
        <f t="shared" si="245"/>
        <v>7727.9788872275203</v>
      </c>
      <c r="M561" s="11">
        <v>0</v>
      </c>
      <c r="N561" s="11">
        <f t="shared" si="250"/>
        <v>75.853738586842567</v>
      </c>
      <c r="O561" s="10">
        <f t="shared" si="251"/>
        <v>96.59973609034401</v>
      </c>
      <c r="P561" s="12">
        <f t="shared" si="252"/>
        <v>0</v>
      </c>
      <c r="Q561" s="74"/>
      <c r="R561" s="74"/>
      <c r="S561" s="47">
        <f>F561-'[1]CORREÇÃO DOS ITENS DIVERGENTES'!$P490</f>
        <v>0</v>
      </c>
      <c r="T561" s="12">
        <f t="shared" si="238"/>
        <v>7727.9788872275203</v>
      </c>
      <c r="V561" s="41"/>
    </row>
    <row r="562" spans="1:22">
      <c r="A562" s="118"/>
      <c r="B562" s="94"/>
      <c r="C562" s="89"/>
      <c r="D562" s="90"/>
      <c r="E562" s="11"/>
      <c r="F562" s="11"/>
      <c r="G562" s="91"/>
      <c r="H562" s="12"/>
      <c r="I562" s="49"/>
      <c r="J562" s="50"/>
      <c r="K562" s="10"/>
      <c r="L562" s="12"/>
      <c r="M562" s="50"/>
      <c r="N562" s="50"/>
      <c r="O562" s="10"/>
      <c r="P562" s="51"/>
      <c r="Q562" s="74"/>
      <c r="R562" s="74"/>
      <c r="S562" s="52"/>
      <c r="T562" s="12"/>
      <c r="V562" s="41"/>
    </row>
    <row r="563" spans="1:22">
      <c r="A563" s="202" t="s">
        <v>753</v>
      </c>
      <c r="B563" s="202"/>
      <c r="C563" s="202"/>
      <c r="D563" s="202"/>
      <c r="E563" s="202"/>
      <c r="F563" s="202"/>
      <c r="G563" s="144"/>
      <c r="H563" s="141">
        <f>(H539+H525+H501+H484+H480+H381+H297+H289+H263+H255+H205+H190+H171+H157+H108+H89+H83+H81+H77)</f>
        <v>196035.14674887</v>
      </c>
      <c r="I563" s="163"/>
      <c r="J563" s="74"/>
      <c r="K563" s="54"/>
      <c r="L563" s="12">
        <f t="shared" si="245"/>
        <v>0</v>
      </c>
      <c r="M563" s="74"/>
      <c r="N563" s="74"/>
      <c r="O563" s="54"/>
      <c r="P563" s="55" t="e">
        <f>P541+P539+P525+P501+P450+P410+P381+P370+P297+P289+P263+P255+P246+P220+#REF!+P158+P151+P141+P131+P124+P122+P117+#REF!+P109+P105+P93+P89+P83+P70+P59+P46+P33+P27+P23+P16</f>
        <v>#REF!</v>
      </c>
      <c r="Q563" s="148">
        <f>SUM(Q16:Q561)</f>
        <v>1751060.0919341838</v>
      </c>
      <c r="R563" s="74"/>
      <c r="S563" s="74"/>
      <c r="T563" s="141">
        <f>(T539+T525+T501+T484+T480+T381+T297+T289+T263+T255+T205+T190+T171+T157+T108+T89+T83+T81+T77)</f>
        <v>245043.93343608754</v>
      </c>
      <c r="V563" s="41"/>
    </row>
    <row r="564" spans="1:22" ht="15.75" thickBot="1">
      <c r="A564" s="179" t="s">
        <v>748</v>
      </c>
      <c r="B564" s="180"/>
      <c r="C564" s="181"/>
      <c r="D564" s="137"/>
      <c r="E564" s="64"/>
      <c r="F564" s="64"/>
      <c r="G564" s="64"/>
      <c r="H564" s="138"/>
      <c r="I564" s="69"/>
      <c r="J564" s="69"/>
      <c r="K564" s="69"/>
      <c r="L564" s="59"/>
      <c r="M564" s="69"/>
      <c r="N564" s="69"/>
      <c r="O564" s="69"/>
      <c r="P564" s="59"/>
      <c r="Q564" s="74"/>
      <c r="R564" s="74"/>
      <c r="S564" s="74"/>
      <c r="T564" s="138"/>
      <c r="V564" s="41"/>
    </row>
    <row r="565" spans="1:22" ht="24" thickBot="1">
      <c r="A565" s="205" t="s">
        <v>752</v>
      </c>
      <c r="B565" s="205"/>
      <c r="C565" s="205"/>
      <c r="D565" s="205"/>
      <c r="E565" s="205"/>
      <c r="F565" s="205"/>
      <c r="G565" s="146"/>
      <c r="H565" s="147">
        <f>H563</f>
        <v>196035.14674887</v>
      </c>
      <c r="I565" s="74"/>
      <c r="J565" s="74"/>
      <c r="K565" s="206">
        <f>SUM(L16:L561)/2-0.03</f>
        <v>1647848.5492466723</v>
      </c>
      <c r="L565" s="207"/>
      <c r="M565" s="74"/>
      <c r="N565" s="74"/>
      <c r="O565" s="206" t="e">
        <f>G565+P563</f>
        <v>#REF!</v>
      </c>
      <c r="P565" s="207"/>
      <c r="Q565" s="148"/>
      <c r="R565" s="74"/>
      <c r="S565" s="74"/>
      <c r="T565" s="147">
        <f>T563</f>
        <v>245043.93343608754</v>
      </c>
      <c r="V565" s="60"/>
    </row>
    <row r="566" spans="1:22">
      <c r="A566" s="164" t="s">
        <v>749</v>
      </c>
      <c r="B566" s="67"/>
      <c r="C566" s="67"/>
      <c r="D566" s="68"/>
      <c r="E566" s="69"/>
      <c r="F566" s="69"/>
      <c r="G566" s="69"/>
      <c r="H566" s="69"/>
      <c r="I566" s="69"/>
      <c r="J566" s="69"/>
      <c r="K566" s="69"/>
      <c r="L566" s="69"/>
      <c r="M566" s="69"/>
      <c r="N566" s="69"/>
      <c r="O566" s="69"/>
      <c r="P566" s="69"/>
      <c r="Q566" s="74"/>
      <c r="R566" s="74"/>
      <c r="S566" s="74"/>
      <c r="T566" s="165"/>
      <c r="V566" s="41"/>
    </row>
    <row r="567" spans="1:22">
      <c r="A567" s="166"/>
      <c r="B567" s="167"/>
      <c r="C567" s="167"/>
      <c r="D567" s="168"/>
      <c r="E567" s="169"/>
      <c r="F567" s="169"/>
      <c r="G567" s="170"/>
      <c r="H567" s="69"/>
      <c r="I567" s="169"/>
      <c r="J567" s="169"/>
      <c r="K567" s="170"/>
      <c r="L567" s="69"/>
      <c r="M567" s="169"/>
      <c r="N567" s="169"/>
      <c r="O567" s="170"/>
      <c r="P567" s="69"/>
      <c r="Q567" s="148"/>
      <c r="R567" s="74"/>
      <c r="S567" s="74"/>
      <c r="T567" s="165"/>
    </row>
    <row r="568" spans="1:22">
      <c r="A568" s="166" t="s">
        <v>757</v>
      </c>
      <c r="B568" s="169"/>
      <c r="C568" s="169"/>
      <c r="D568" s="168"/>
      <c r="E568" s="169"/>
      <c r="F568" s="169"/>
      <c r="G568" s="170"/>
      <c r="H568" s="69"/>
      <c r="I568" s="169"/>
      <c r="J568" s="169"/>
      <c r="K568" s="170"/>
      <c r="L568" s="69"/>
      <c r="M568" s="169"/>
      <c r="N568" s="203" t="s">
        <v>747</v>
      </c>
      <c r="O568" s="203"/>
      <c r="P568" s="64">
        <v>114514.7</v>
      </c>
      <c r="Q568" s="74"/>
      <c r="R568" s="74"/>
      <c r="S568" s="74"/>
      <c r="T568" s="165"/>
    </row>
    <row r="569" spans="1:22">
      <c r="A569" s="171"/>
      <c r="B569" s="172"/>
      <c r="C569" s="172"/>
      <c r="D569" s="173"/>
      <c r="E569" s="172"/>
      <c r="F569" s="172"/>
      <c r="G569" s="174"/>
      <c r="H569" s="175"/>
      <c r="I569" s="172"/>
      <c r="J569" s="172"/>
      <c r="K569" s="174"/>
      <c r="L569" s="175"/>
      <c r="M569" s="172"/>
      <c r="N569" s="203"/>
      <c r="O569" s="203"/>
      <c r="P569" s="64"/>
      <c r="Q569" s="156"/>
      <c r="R569" s="156"/>
      <c r="S569" s="156"/>
      <c r="T569" s="176"/>
    </row>
    <row r="570" spans="1:22" ht="15.75">
      <c r="A570" s="61"/>
      <c r="B570" s="61"/>
      <c r="C570" s="61"/>
      <c r="D570" s="62"/>
      <c r="E570" s="61"/>
      <c r="F570" s="61"/>
      <c r="G570" s="63"/>
      <c r="I570" s="61"/>
      <c r="J570" s="61"/>
      <c r="K570" s="63"/>
      <c r="M570" s="61"/>
      <c r="N570" s="204"/>
      <c r="O570" s="204"/>
      <c r="P570" s="158"/>
      <c r="Q570" s="9"/>
    </row>
    <row r="571" spans="1:22">
      <c r="A571" s="61"/>
      <c r="B571" s="61"/>
      <c r="C571" s="61"/>
      <c r="D571" s="62"/>
      <c r="E571" s="61"/>
      <c r="F571" s="61"/>
      <c r="G571" s="63"/>
      <c r="I571" s="61"/>
      <c r="J571" s="65"/>
      <c r="K571" s="63"/>
      <c r="M571" s="61"/>
      <c r="N571" s="61"/>
      <c r="O571" s="63"/>
      <c r="Q571" s="9"/>
    </row>
    <row r="572" spans="1:22">
      <c r="C572" s="71"/>
      <c r="M572" s="58"/>
    </row>
    <row r="573" spans="1:22">
      <c r="A573" s="74"/>
      <c r="B573" s="67"/>
      <c r="C573" s="67"/>
      <c r="D573" s="68"/>
      <c r="E573" s="69"/>
      <c r="F573" s="69"/>
      <c r="G573" s="69"/>
      <c r="H573" s="69"/>
      <c r="M573" s="58"/>
      <c r="Q573" s="9"/>
      <c r="T573" s="69"/>
    </row>
    <row r="574" spans="1:22" ht="409.5" customHeight="1">
      <c r="A574" s="74"/>
      <c r="B574" s="67"/>
      <c r="C574" s="67"/>
      <c r="D574" s="68"/>
      <c r="E574" s="69"/>
      <c r="F574" s="69"/>
      <c r="G574" s="69"/>
      <c r="H574" s="69"/>
      <c r="M574" s="58"/>
      <c r="T574" s="69"/>
    </row>
    <row r="575" spans="1:22">
      <c r="A575" s="178"/>
      <c r="B575" s="178"/>
      <c r="C575" s="178"/>
      <c r="D575" s="178"/>
      <c r="E575" s="178"/>
      <c r="F575" s="178"/>
      <c r="G575" s="69"/>
      <c r="H575" s="69"/>
      <c r="M575" s="58"/>
      <c r="Q575" s="66"/>
      <c r="T575" s="69"/>
    </row>
    <row r="576" spans="1:22">
      <c r="A576" s="74"/>
      <c r="B576" s="67"/>
      <c r="C576" s="67"/>
      <c r="D576" s="68"/>
      <c r="E576" s="69"/>
      <c r="F576" s="69"/>
      <c r="G576" s="69"/>
      <c r="H576" s="69"/>
      <c r="M576" s="58"/>
      <c r="T576" s="69"/>
    </row>
    <row r="577" spans="1:20">
      <c r="A577" s="74"/>
      <c r="B577" s="67"/>
      <c r="C577" s="67"/>
      <c r="D577" s="68"/>
      <c r="E577" s="69"/>
      <c r="F577" s="69"/>
      <c r="G577" s="69"/>
      <c r="H577" s="69"/>
      <c r="M577" s="58"/>
      <c r="T577" s="69"/>
    </row>
    <row r="578" spans="1:20">
      <c r="A578" s="74"/>
      <c r="B578" s="67"/>
      <c r="C578" s="67"/>
      <c r="D578" s="68"/>
      <c r="E578" s="69"/>
      <c r="F578" s="69"/>
      <c r="G578" s="69"/>
      <c r="H578" s="69"/>
      <c r="M578" s="58"/>
      <c r="T578" s="69"/>
    </row>
    <row r="579" spans="1:20">
      <c r="A579" s="74"/>
      <c r="B579" s="67"/>
      <c r="C579" s="67"/>
      <c r="D579" s="68"/>
      <c r="E579" s="69"/>
      <c r="F579" s="69"/>
      <c r="G579" s="69"/>
      <c r="H579" s="69"/>
      <c r="M579" s="58"/>
      <c r="T579" s="69"/>
    </row>
    <row r="580" spans="1:20">
      <c r="A580" s="74"/>
      <c r="B580" s="67"/>
      <c r="C580" s="67"/>
      <c r="D580" s="68"/>
      <c r="E580" s="69"/>
      <c r="F580" s="69"/>
      <c r="G580" s="69"/>
      <c r="H580" s="69"/>
      <c r="M580" s="58"/>
      <c r="T580" s="69"/>
    </row>
    <row r="581" spans="1:20">
      <c r="A581" s="74"/>
      <c r="B581" s="67"/>
      <c r="C581" s="67"/>
      <c r="D581" s="68"/>
      <c r="E581" s="69"/>
      <c r="F581" s="69"/>
      <c r="G581" s="69"/>
      <c r="H581" s="69"/>
      <c r="M581" s="58"/>
      <c r="T581" s="69"/>
    </row>
    <row r="582" spans="1:20">
      <c r="A582" s="74"/>
      <c r="B582" s="67"/>
      <c r="C582" s="67"/>
      <c r="D582" s="68"/>
      <c r="E582" s="69"/>
      <c r="F582" s="69"/>
      <c r="G582" s="69"/>
      <c r="H582" s="69"/>
      <c r="M582" s="58"/>
      <c r="T582" s="69"/>
    </row>
    <row r="583" spans="1:20">
      <c r="A583" s="74"/>
      <c r="B583" s="67"/>
      <c r="C583" s="67"/>
      <c r="D583" s="68"/>
      <c r="E583" s="69"/>
      <c r="F583" s="69"/>
      <c r="G583" s="69"/>
      <c r="H583" s="69"/>
      <c r="M583" s="58"/>
      <c r="T583" s="69"/>
    </row>
    <row r="584" spans="1:20">
      <c r="A584" s="74"/>
      <c r="B584" s="67"/>
      <c r="C584" s="67"/>
      <c r="D584" s="68"/>
      <c r="E584" s="69"/>
      <c r="F584" s="69"/>
      <c r="G584" s="69"/>
      <c r="H584" s="69"/>
      <c r="M584" s="58"/>
      <c r="T584" s="69"/>
    </row>
    <row r="585" spans="1:20">
      <c r="A585" s="74"/>
      <c r="B585" s="67"/>
      <c r="C585" s="67"/>
      <c r="D585" s="68"/>
      <c r="E585" s="69"/>
      <c r="F585" s="69"/>
      <c r="G585" s="69"/>
      <c r="H585" s="69"/>
      <c r="M585" s="58"/>
      <c r="T585" s="69"/>
    </row>
    <row r="586" spans="1:20">
      <c r="A586" s="74"/>
      <c r="B586" s="67"/>
      <c r="C586" s="67"/>
      <c r="D586" s="68"/>
      <c r="E586" s="69"/>
      <c r="F586" s="69"/>
      <c r="G586" s="69"/>
      <c r="H586" s="69"/>
      <c r="M586" s="58"/>
      <c r="T586" s="69"/>
    </row>
    <row r="587" spans="1:20">
      <c r="A587" s="74"/>
      <c r="B587" s="67"/>
      <c r="C587" s="67"/>
      <c r="D587" s="68"/>
      <c r="E587" s="69"/>
      <c r="F587" s="69"/>
      <c r="G587" s="69"/>
      <c r="H587" s="69"/>
      <c r="M587" s="58"/>
      <c r="T587" s="69"/>
    </row>
    <row r="588" spans="1:20">
      <c r="A588" s="74"/>
      <c r="B588" s="67"/>
      <c r="C588" s="67"/>
      <c r="D588" s="68"/>
      <c r="E588" s="69"/>
      <c r="F588" s="69"/>
      <c r="G588" s="69"/>
      <c r="H588" s="69"/>
      <c r="M588" s="58"/>
      <c r="T588" s="69"/>
    </row>
    <row r="589" spans="1:20">
      <c r="A589" s="74"/>
      <c r="B589" s="67"/>
      <c r="C589" s="67"/>
      <c r="D589" s="68"/>
      <c r="E589" s="69"/>
      <c r="F589" s="69"/>
      <c r="G589" s="69"/>
      <c r="H589" s="69"/>
      <c r="M589" s="58"/>
      <c r="T589" s="69"/>
    </row>
    <row r="590" spans="1:20" s="58" customFormat="1">
      <c r="A590" s="74"/>
      <c r="B590" s="67"/>
      <c r="C590" s="67"/>
      <c r="D590" s="68"/>
      <c r="E590" s="69"/>
      <c r="F590" s="69"/>
      <c r="G590" s="69"/>
      <c r="H590" s="69"/>
      <c r="Q590" s="1"/>
      <c r="R590" s="1"/>
      <c r="S590" s="1"/>
      <c r="T590" s="69"/>
    </row>
    <row r="591" spans="1:20" s="58" customFormat="1">
      <c r="A591" s="74"/>
      <c r="B591" s="67"/>
      <c r="C591" s="67"/>
      <c r="D591" s="68"/>
      <c r="E591" s="69"/>
      <c r="F591" s="69"/>
      <c r="G591" s="69"/>
      <c r="H591" s="69"/>
      <c r="Q591" s="1"/>
      <c r="R591" s="1"/>
      <c r="S591" s="1"/>
      <c r="T591" s="69"/>
    </row>
    <row r="592" spans="1:20" s="58" customFormat="1">
      <c r="A592" s="74"/>
      <c r="B592" s="67"/>
      <c r="C592" s="67"/>
      <c r="D592" s="68"/>
      <c r="E592" s="69"/>
      <c r="F592" s="69"/>
      <c r="G592" s="69"/>
      <c r="H592" s="69"/>
      <c r="Q592" s="1"/>
      <c r="R592" s="1"/>
      <c r="S592" s="1"/>
      <c r="T592" s="69"/>
    </row>
    <row r="593" spans="1:20" s="58" customFormat="1">
      <c r="A593" s="74"/>
      <c r="B593" s="67"/>
      <c r="C593" s="67"/>
      <c r="D593" s="68"/>
      <c r="E593" s="69"/>
      <c r="F593" s="69"/>
      <c r="G593" s="69"/>
      <c r="H593" s="69"/>
      <c r="Q593" s="1"/>
      <c r="R593" s="1"/>
      <c r="S593" s="1"/>
      <c r="T593" s="69"/>
    </row>
    <row r="594" spans="1:20" s="58" customFormat="1">
      <c r="A594" s="74"/>
      <c r="B594" s="67"/>
      <c r="C594" s="67"/>
      <c r="D594" s="68"/>
      <c r="E594" s="69"/>
      <c r="F594" s="69"/>
      <c r="G594" s="69"/>
      <c r="H594" s="69"/>
      <c r="Q594" s="1"/>
      <c r="R594" s="1"/>
      <c r="S594" s="1"/>
      <c r="T594" s="69"/>
    </row>
    <row r="595" spans="1:20" s="58" customFormat="1">
      <c r="A595" s="74"/>
      <c r="B595" s="67"/>
      <c r="C595" s="67"/>
      <c r="D595" s="68"/>
      <c r="E595" s="69"/>
      <c r="F595" s="69"/>
      <c r="G595" s="69"/>
      <c r="H595" s="69"/>
      <c r="Q595" s="1"/>
      <c r="R595" s="1"/>
      <c r="S595" s="1"/>
      <c r="T595" s="69"/>
    </row>
    <row r="596" spans="1:20" s="58" customFormat="1">
      <c r="A596" s="74"/>
      <c r="B596" s="67"/>
      <c r="C596" s="67"/>
      <c r="D596" s="68"/>
      <c r="E596" s="69"/>
      <c r="F596" s="69"/>
      <c r="G596" s="69"/>
      <c r="H596" s="69"/>
      <c r="Q596" s="1"/>
      <c r="R596" s="1"/>
      <c r="S596" s="1"/>
      <c r="T596" s="69"/>
    </row>
    <row r="597" spans="1:20" s="58" customFormat="1">
      <c r="A597" s="74"/>
      <c r="B597" s="67"/>
      <c r="C597" s="67"/>
      <c r="D597" s="68"/>
      <c r="E597" s="69"/>
      <c r="F597" s="69"/>
      <c r="G597" s="69"/>
      <c r="H597" s="69"/>
      <c r="Q597" s="1"/>
      <c r="R597" s="1"/>
      <c r="S597" s="1"/>
      <c r="T597" s="69"/>
    </row>
    <row r="598" spans="1:20" s="58" customFormat="1">
      <c r="A598" s="74"/>
      <c r="B598" s="67"/>
      <c r="C598" s="67"/>
      <c r="D598" s="68"/>
      <c r="E598" s="69"/>
      <c r="F598" s="69"/>
      <c r="G598" s="69"/>
      <c r="H598" s="69"/>
      <c r="Q598" s="1"/>
      <c r="R598" s="1"/>
      <c r="S598" s="1"/>
      <c r="T598" s="69"/>
    </row>
    <row r="599" spans="1:20" s="58" customFormat="1">
      <c r="A599" s="74"/>
      <c r="B599" s="67"/>
      <c r="C599" s="67"/>
      <c r="D599" s="68"/>
      <c r="E599" s="69"/>
      <c r="F599" s="69"/>
      <c r="G599" s="69"/>
      <c r="H599" s="69"/>
      <c r="Q599" s="1"/>
      <c r="R599" s="1"/>
      <c r="S599" s="1"/>
      <c r="T599" s="69"/>
    </row>
    <row r="600" spans="1:20" s="58" customFormat="1">
      <c r="A600" s="74"/>
      <c r="B600" s="67"/>
      <c r="C600" s="67"/>
      <c r="D600" s="68"/>
      <c r="E600" s="69"/>
      <c r="F600" s="69"/>
      <c r="G600" s="69"/>
      <c r="H600" s="69"/>
      <c r="Q600" s="1"/>
      <c r="R600" s="1"/>
      <c r="S600" s="1"/>
      <c r="T600" s="69"/>
    </row>
    <row r="601" spans="1:20" s="58" customFormat="1">
      <c r="A601" s="74"/>
      <c r="B601" s="67"/>
      <c r="C601" s="67"/>
      <c r="D601" s="68"/>
      <c r="E601" s="69"/>
      <c r="F601" s="69"/>
      <c r="G601" s="69"/>
      <c r="H601" s="69"/>
      <c r="Q601" s="1"/>
      <c r="R601" s="1"/>
      <c r="S601" s="1"/>
      <c r="T601" s="69"/>
    </row>
    <row r="602" spans="1:20" s="58" customFormat="1">
      <c r="A602" s="74"/>
      <c r="B602" s="67"/>
      <c r="C602" s="67"/>
      <c r="D602" s="68"/>
      <c r="E602" s="69"/>
      <c r="F602" s="69"/>
      <c r="G602" s="69"/>
      <c r="H602" s="69"/>
      <c r="Q602" s="1"/>
      <c r="R602" s="1"/>
      <c r="S602" s="1"/>
      <c r="T602" s="69"/>
    </row>
    <row r="603" spans="1:20" s="58" customFormat="1">
      <c r="A603" s="74"/>
      <c r="B603" s="67"/>
      <c r="C603" s="67"/>
      <c r="D603" s="68"/>
      <c r="E603" s="69"/>
      <c r="F603" s="69"/>
      <c r="G603" s="69"/>
      <c r="H603" s="69"/>
      <c r="Q603" s="1"/>
      <c r="R603" s="1"/>
      <c r="S603" s="1"/>
      <c r="T603" s="69"/>
    </row>
    <row r="604" spans="1:20" s="58" customFormat="1">
      <c r="A604" s="74"/>
      <c r="B604" s="67"/>
      <c r="C604" s="67"/>
      <c r="D604" s="68"/>
      <c r="E604" s="69"/>
      <c r="F604" s="69"/>
      <c r="G604" s="69"/>
      <c r="H604" s="69"/>
      <c r="Q604" s="1"/>
      <c r="R604" s="1"/>
      <c r="S604" s="1"/>
      <c r="T604" s="69"/>
    </row>
    <row r="605" spans="1:20" s="58" customFormat="1">
      <c r="A605" s="74"/>
      <c r="B605" s="67"/>
      <c r="C605" s="67"/>
      <c r="D605" s="68"/>
      <c r="E605" s="69"/>
      <c r="F605" s="69"/>
      <c r="G605" s="69"/>
      <c r="H605" s="69"/>
      <c r="Q605" s="1"/>
      <c r="R605" s="1"/>
      <c r="S605" s="1"/>
      <c r="T605" s="69"/>
    </row>
    <row r="606" spans="1:20" s="58" customFormat="1">
      <c r="A606" s="74"/>
      <c r="B606" s="67"/>
      <c r="C606" s="67"/>
      <c r="D606" s="68"/>
      <c r="E606" s="69"/>
      <c r="F606" s="69"/>
      <c r="G606" s="69"/>
      <c r="H606" s="69"/>
      <c r="Q606" s="1"/>
      <c r="R606" s="1"/>
      <c r="S606" s="1"/>
      <c r="T606" s="69"/>
    </row>
    <row r="607" spans="1:20" s="58" customFormat="1">
      <c r="A607" s="74"/>
      <c r="B607" s="67"/>
      <c r="C607" s="67"/>
      <c r="D607" s="68"/>
      <c r="E607" s="69"/>
      <c r="F607" s="69"/>
      <c r="G607" s="69"/>
      <c r="H607" s="69"/>
      <c r="Q607" s="1"/>
      <c r="R607" s="1"/>
      <c r="S607" s="1"/>
      <c r="T607" s="69"/>
    </row>
    <row r="608" spans="1:20" s="58" customFormat="1">
      <c r="A608" s="1"/>
      <c r="B608" s="56"/>
      <c r="C608" s="56"/>
      <c r="D608" s="57"/>
      <c r="Q608" s="1"/>
      <c r="R608" s="1"/>
      <c r="S608" s="1"/>
    </row>
    <row r="609" spans="1:19" s="58" customFormat="1">
      <c r="A609" s="1"/>
      <c r="B609" s="56"/>
      <c r="C609" s="56"/>
      <c r="D609" s="57"/>
      <c r="Q609" s="1"/>
      <c r="R609" s="1"/>
      <c r="S609" s="1"/>
    </row>
    <row r="610" spans="1:19" s="58" customFormat="1">
      <c r="A610" s="1"/>
      <c r="B610" s="56"/>
      <c r="C610" s="56"/>
      <c r="D610" s="57"/>
      <c r="Q610" s="1"/>
      <c r="R610" s="1"/>
      <c r="S610" s="1"/>
    </row>
    <row r="611" spans="1:19" s="58" customFormat="1">
      <c r="A611" s="1"/>
      <c r="B611" s="56"/>
      <c r="C611" s="56"/>
      <c r="D611" s="57"/>
      <c r="Q611" s="1"/>
      <c r="R611" s="1"/>
      <c r="S611" s="1"/>
    </row>
    <row r="612" spans="1:19" s="58" customFormat="1">
      <c r="A612" s="1"/>
      <c r="B612" s="56"/>
      <c r="C612" s="56"/>
      <c r="D612" s="57"/>
      <c r="Q612" s="1"/>
      <c r="R612" s="1"/>
      <c r="S612" s="1"/>
    </row>
    <row r="613" spans="1:19" s="58" customFormat="1">
      <c r="A613" s="1"/>
      <c r="B613" s="56"/>
      <c r="C613" s="56"/>
      <c r="D613" s="57"/>
      <c r="Q613" s="1"/>
      <c r="R613" s="1"/>
      <c r="S613" s="1"/>
    </row>
    <row r="614" spans="1:19" s="58" customFormat="1">
      <c r="A614" s="1"/>
      <c r="B614" s="56"/>
      <c r="C614" s="56"/>
      <c r="D614" s="57"/>
      <c r="Q614" s="1"/>
      <c r="R614" s="1"/>
      <c r="S614" s="1"/>
    </row>
    <row r="615" spans="1:19" s="58" customFormat="1">
      <c r="A615" s="1"/>
      <c r="B615" s="56"/>
      <c r="C615" s="56"/>
      <c r="D615" s="57"/>
      <c r="Q615" s="1"/>
      <c r="R615" s="1"/>
      <c r="S615" s="1"/>
    </row>
    <row r="616" spans="1:19" s="58" customFormat="1">
      <c r="A616" s="1"/>
      <c r="B616" s="56"/>
      <c r="C616" s="56"/>
      <c r="D616" s="57"/>
      <c r="Q616" s="1"/>
      <c r="R616" s="1"/>
      <c r="S616" s="1"/>
    </row>
    <row r="617" spans="1:19" s="58" customFormat="1">
      <c r="A617" s="1"/>
      <c r="B617" s="56"/>
      <c r="C617" s="56"/>
      <c r="D617" s="57"/>
      <c r="Q617" s="1"/>
      <c r="R617" s="1"/>
      <c r="S617" s="1"/>
    </row>
    <row r="618" spans="1:19" s="58" customFormat="1">
      <c r="A618" s="1"/>
      <c r="B618" s="56"/>
      <c r="C618" s="56"/>
      <c r="D618" s="57"/>
      <c r="Q618" s="1"/>
      <c r="R618" s="1"/>
      <c r="S618" s="1"/>
    </row>
    <row r="619" spans="1:19" s="58" customFormat="1">
      <c r="A619" s="1"/>
      <c r="B619" s="56"/>
      <c r="C619" s="56"/>
      <c r="D619" s="57"/>
      <c r="Q619" s="1"/>
      <c r="R619" s="1"/>
      <c r="S619" s="1"/>
    </row>
    <row r="620" spans="1:19" s="58" customFormat="1">
      <c r="A620" s="1"/>
      <c r="B620" s="56"/>
      <c r="C620" s="56"/>
      <c r="D620" s="57"/>
      <c r="Q620" s="1"/>
      <c r="R620" s="1"/>
      <c r="S620" s="1"/>
    </row>
    <row r="621" spans="1:19" s="58" customFormat="1">
      <c r="A621" s="1"/>
      <c r="B621" s="56"/>
      <c r="C621" s="56"/>
      <c r="D621" s="57"/>
      <c r="Q621" s="1"/>
      <c r="R621" s="1"/>
      <c r="S621" s="1"/>
    </row>
    <row r="622" spans="1:19" s="58" customFormat="1">
      <c r="A622" s="1"/>
      <c r="B622" s="56"/>
      <c r="C622" s="56"/>
      <c r="D622" s="57"/>
      <c r="Q622" s="1"/>
      <c r="R622" s="1"/>
      <c r="S622" s="1"/>
    </row>
    <row r="623" spans="1:19" s="58" customFormat="1">
      <c r="A623" s="1"/>
      <c r="B623" s="56"/>
      <c r="C623" s="56"/>
      <c r="D623" s="57"/>
      <c r="Q623" s="1"/>
      <c r="R623" s="1"/>
      <c r="S623" s="1"/>
    </row>
    <row r="624" spans="1:19" s="58" customFormat="1">
      <c r="A624" s="1"/>
      <c r="B624" s="56"/>
      <c r="C624" s="56"/>
      <c r="D624" s="57"/>
      <c r="Q624" s="1"/>
      <c r="R624" s="1"/>
      <c r="S624" s="1"/>
    </row>
    <row r="625" spans="1:19" s="58" customFormat="1">
      <c r="A625" s="1"/>
      <c r="B625" s="56"/>
      <c r="C625" s="56"/>
      <c r="D625" s="57"/>
      <c r="Q625" s="1"/>
      <c r="R625" s="1"/>
      <c r="S625" s="1"/>
    </row>
    <row r="626" spans="1:19" s="58" customFormat="1">
      <c r="A626" s="1"/>
      <c r="B626" s="56"/>
      <c r="C626" s="56"/>
      <c r="D626" s="57"/>
      <c r="Q626" s="1"/>
      <c r="R626" s="1"/>
      <c r="S626" s="1"/>
    </row>
    <row r="627" spans="1:19" s="58" customFormat="1">
      <c r="A627" s="1"/>
      <c r="B627" s="56"/>
      <c r="C627" s="56"/>
      <c r="D627" s="57"/>
      <c r="Q627" s="1"/>
      <c r="R627" s="1"/>
      <c r="S627" s="1"/>
    </row>
    <row r="628" spans="1:19" s="58" customFormat="1">
      <c r="A628" s="1"/>
      <c r="B628" s="56"/>
      <c r="C628" s="56"/>
      <c r="D628" s="57"/>
      <c r="Q628" s="1"/>
      <c r="R628" s="1"/>
      <c r="S628" s="1"/>
    </row>
    <row r="629" spans="1:19" s="58" customFormat="1">
      <c r="A629" s="1"/>
      <c r="B629" s="56"/>
      <c r="C629" s="56"/>
      <c r="D629" s="57"/>
      <c r="Q629" s="1"/>
      <c r="R629" s="1"/>
      <c r="S629" s="1"/>
    </row>
    <row r="630" spans="1:19" s="58" customFormat="1">
      <c r="A630" s="1"/>
      <c r="B630" s="56"/>
      <c r="C630" s="56"/>
      <c r="D630" s="57"/>
      <c r="Q630" s="1"/>
      <c r="R630" s="1"/>
      <c r="S630" s="1"/>
    </row>
    <row r="631" spans="1:19" s="58" customFormat="1">
      <c r="A631" s="1"/>
      <c r="B631" s="56"/>
      <c r="C631" s="56"/>
      <c r="D631" s="57"/>
      <c r="Q631" s="1"/>
      <c r="R631" s="1"/>
      <c r="S631" s="1"/>
    </row>
    <row r="632" spans="1:19" s="58" customFormat="1">
      <c r="A632" s="1"/>
      <c r="B632" s="56"/>
      <c r="C632" s="56"/>
      <c r="D632" s="57"/>
      <c r="Q632" s="1"/>
      <c r="R632" s="1"/>
      <c r="S632" s="1"/>
    </row>
    <row r="633" spans="1:19" s="58" customFormat="1">
      <c r="A633" s="1"/>
      <c r="B633" s="56"/>
      <c r="C633" s="56"/>
      <c r="D633" s="57"/>
      <c r="Q633" s="1"/>
      <c r="R633" s="1"/>
      <c r="S633" s="1"/>
    </row>
    <row r="634" spans="1:19" s="58" customFormat="1">
      <c r="A634" s="1"/>
      <c r="B634" s="56"/>
      <c r="C634" s="56"/>
      <c r="D634" s="57"/>
      <c r="Q634" s="1"/>
      <c r="R634" s="1"/>
      <c r="S634" s="1"/>
    </row>
    <row r="635" spans="1:19" s="58" customFormat="1">
      <c r="A635" s="1"/>
      <c r="B635" s="56"/>
      <c r="C635" s="56"/>
      <c r="D635" s="57"/>
      <c r="Q635" s="1"/>
      <c r="R635" s="1"/>
      <c r="S635" s="1"/>
    </row>
    <row r="636" spans="1:19" s="58" customFormat="1">
      <c r="A636" s="1"/>
      <c r="B636" s="56"/>
      <c r="C636" s="56"/>
      <c r="D636" s="57"/>
      <c r="Q636" s="1"/>
      <c r="R636" s="1"/>
      <c r="S636" s="1"/>
    </row>
    <row r="637" spans="1:19" s="58" customFormat="1">
      <c r="A637" s="1"/>
      <c r="B637" s="56"/>
      <c r="C637" s="56"/>
      <c r="D637" s="57"/>
      <c r="Q637" s="1"/>
      <c r="R637" s="1"/>
      <c r="S637" s="1"/>
    </row>
    <row r="638" spans="1:19" s="58" customFormat="1">
      <c r="A638" s="1"/>
      <c r="B638" s="56"/>
      <c r="C638" s="56"/>
      <c r="D638" s="57"/>
      <c r="Q638" s="1"/>
      <c r="R638" s="1"/>
      <c r="S638" s="1"/>
    </row>
    <row r="639" spans="1:19" s="58" customFormat="1">
      <c r="A639" s="1"/>
      <c r="B639" s="56"/>
      <c r="C639" s="56"/>
      <c r="D639" s="57"/>
      <c r="Q639" s="1"/>
      <c r="R639" s="1"/>
      <c r="S639" s="1"/>
    </row>
    <row r="640" spans="1:19" s="58" customFormat="1">
      <c r="A640" s="1"/>
      <c r="B640" s="56"/>
      <c r="C640" s="56"/>
      <c r="D640" s="57"/>
      <c r="Q640" s="1"/>
      <c r="R640" s="1"/>
      <c r="S640" s="1"/>
    </row>
    <row r="641" spans="1:19" s="58" customFormat="1">
      <c r="A641" s="1"/>
      <c r="B641" s="56"/>
      <c r="C641" s="56"/>
      <c r="D641" s="57"/>
      <c r="Q641" s="1"/>
      <c r="R641" s="1"/>
      <c r="S641" s="1"/>
    </row>
    <row r="642" spans="1:19" s="58" customFormat="1">
      <c r="A642" s="1"/>
      <c r="B642" s="56"/>
      <c r="C642" s="56"/>
      <c r="D642" s="57"/>
      <c r="Q642" s="1"/>
      <c r="R642" s="1"/>
      <c r="S642" s="1"/>
    </row>
    <row r="643" spans="1:19" s="58" customFormat="1">
      <c r="A643" s="1"/>
      <c r="B643" s="56"/>
      <c r="C643" s="56"/>
      <c r="D643" s="57"/>
      <c r="Q643" s="1"/>
      <c r="R643" s="1"/>
      <c r="S643" s="1"/>
    </row>
    <row r="644" spans="1:19" s="58" customFormat="1">
      <c r="A644" s="1"/>
      <c r="B644" s="56"/>
      <c r="C644" s="56"/>
      <c r="D644" s="57"/>
      <c r="Q644" s="1"/>
      <c r="R644" s="1"/>
      <c r="S644" s="1"/>
    </row>
    <row r="645" spans="1:19" s="58" customFormat="1">
      <c r="A645" s="1"/>
      <c r="B645" s="56"/>
      <c r="C645" s="56"/>
      <c r="D645" s="57"/>
      <c r="Q645" s="1"/>
      <c r="R645" s="1"/>
      <c r="S645" s="1"/>
    </row>
    <row r="646" spans="1:19" s="58" customFormat="1">
      <c r="A646" s="1"/>
      <c r="B646" s="56"/>
      <c r="C646" s="56"/>
      <c r="D646" s="57"/>
      <c r="Q646" s="1"/>
      <c r="R646" s="1"/>
      <c r="S646" s="1"/>
    </row>
    <row r="647" spans="1:19" s="58" customFormat="1">
      <c r="A647" s="1"/>
      <c r="B647" s="56"/>
      <c r="C647" s="56"/>
      <c r="D647" s="57"/>
      <c r="Q647" s="1"/>
      <c r="R647" s="1"/>
      <c r="S647" s="1"/>
    </row>
    <row r="648" spans="1:19" s="58" customFormat="1">
      <c r="A648" s="1"/>
      <c r="B648" s="56"/>
      <c r="C648" s="56"/>
      <c r="D648" s="57"/>
      <c r="Q648" s="1"/>
      <c r="R648" s="1"/>
      <c r="S648" s="1"/>
    </row>
    <row r="649" spans="1:19" s="58" customFormat="1">
      <c r="A649" s="1"/>
      <c r="B649" s="56"/>
      <c r="C649" s="56"/>
      <c r="D649" s="57"/>
      <c r="Q649" s="1"/>
      <c r="R649" s="1"/>
      <c r="S649" s="1"/>
    </row>
    <row r="650" spans="1:19" s="58" customFormat="1">
      <c r="A650" s="1"/>
      <c r="B650" s="56"/>
      <c r="C650" s="56"/>
      <c r="D650" s="57"/>
      <c r="Q650" s="1"/>
      <c r="R650" s="1"/>
      <c r="S650" s="1"/>
    </row>
    <row r="651" spans="1:19" s="58" customFormat="1">
      <c r="A651" s="1"/>
      <c r="B651" s="56"/>
      <c r="C651" s="56"/>
      <c r="D651" s="57"/>
      <c r="Q651" s="1"/>
      <c r="R651" s="1"/>
      <c r="S651" s="1"/>
    </row>
    <row r="652" spans="1:19" s="58" customFormat="1">
      <c r="A652" s="1"/>
      <c r="B652" s="56"/>
      <c r="C652" s="56"/>
      <c r="D652" s="57"/>
      <c r="Q652" s="1"/>
      <c r="R652" s="1"/>
      <c r="S652" s="1"/>
    </row>
    <row r="653" spans="1:19" s="58" customFormat="1">
      <c r="A653" s="1"/>
      <c r="B653" s="56"/>
      <c r="C653" s="56"/>
      <c r="D653" s="57"/>
      <c r="Q653" s="1"/>
      <c r="R653" s="1"/>
      <c r="S653" s="1"/>
    </row>
    <row r="654" spans="1:19" s="58" customFormat="1">
      <c r="A654" s="1"/>
      <c r="B654" s="56"/>
      <c r="C654" s="56"/>
      <c r="D654" s="57"/>
      <c r="Q654" s="1"/>
      <c r="R654" s="1"/>
      <c r="S654" s="1"/>
    </row>
    <row r="655" spans="1:19" s="58" customFormat="1">
      <c r="A655" s="1"/>
      <c r="B655" s="56"/>
      <c r="C655" s="56"/>
      <c r="D655" s="57"/>
      <c r="Q655" s="1"/>
      <c r="R655" s="1"/>
      <c r="S655" s="1"/>
    </row>
    <row r="656" spans="1:19" s="58" customFormat="1">
      <c r="A656" s="1"/>
      <c r="B656" s="56"/>
      <c r="C656" s="56"/>
      <c r="D656" s="57"/>
      <c r="Q656" s="1"/>
      <c r="R656" s="1"/>
      <c r="S656" s="1"/>
    </row>
    <row r="657" spans="1:19" s="58" customFormat="1">
      <c r="A657" s="1"/>
      <c r="B657" s="56"/>
      <c r="C657" s="56"/>
      <c r="D657" s="57"/>
      <c r="Q657" s="1"/>
      <c r="R657" s="1"/>
      <c r="S657" s="1"/>
    </row>
    <row r="658" spans="1:19" s="58" customFormat="1">
      <c r="A658" s="1"/>
      <c r="B658" s="56"/>
      <c r="C658" s="56"/>
      <c r="D658" s="57"/>
      <c r="Q658" s="1"/>
      <c r="R658" s="1"/>
      <c r="S658" s="1"/>
    </row>
    <row r="659" spans="1:19" s="58" customFormat="1">
      <c r="A659" s="1"/>
      <c r="B659" s="56"/>
      <c r="C659" s="56"/>
      <c r="D659" s="57"/>
      <c r="Q659" s="1"/>
      <c r="R659" s="1"/>
      <c r="S659" s="1"/>
    </row>
    <row r="660" spans="1:19" s="58" customFormat="1">
      <c r="A660" s="1"/>
      <c r="B660" s="56"/>
      <c r="C660" s="56"/>
      <c r="D660" s="57"/>
      <c r="Q660" s="1"/>
      <c r="R660" s="1"/>
      <c r="S660" s="1"/>
    </row>
    <row r="661" spans="1:19" s="58" customFormat="1">
      <c r="A661" s="1"/>
      <c r="B661" s="56"/>
      <c r="C661" s="56"/>
      <c r="D661" s="57"/>
      <c r="Q661" s="1"/>
      <c r="R661" s="1"/>
      <c r="S661" s="1"/>
    </row>
    <row r="662" spans="1:19" s="58" customFormat="1">
      <c r="A662" s="1"/>
      <c r="B662" s="56"/>
      <c r="C662" s="56"/>
      <c r="D662" s="57"/>
      <c r="Q662" s="1"/>
      <c r="R662" s="1"/>
      <c r="S662" s="1"/>
    </row>
    <row r="663" spans="1:19" s="58" customFormat="1">
      <c r="A663" s="1"/>
      <c r="B663" s="56"/>
      <c r="C663" s="56"/>
      <c r="D663" s="57"/>
      <c r="Q663" s="1"/>
      <c r="R663" s="1"/>
      <c r="S663" s="1"/>
    </row>
    <row r="664" spans="1:19" s="58" customFormat="1">
      <c r="A664" s="1"/>
      <c r="B664" s="56"/>
      <c r="C664" s="56"/>
      <c r="D664" s="57"/>
      <c r="Q664" s="1"/>
      <c r="R664" s="1"/>
      <c r="S664" s="1"/>
    </row>
    <row r="665" spans="1:19" s="58" customFormat="1">
      <c r="A665" s="1"/>
      <c r="B665" s="56"/>
      <c r="C665" s="56"/>
      <c r="D665" s="57"/>
      <c r="Q665" s="1"/>
      <c r="R665" s="1"/>
      <c r="S665" s="1"/>
    </row>
    <row r="666" spans="1:19" s="58" customFormat="1">
      <c r="A666" s="1"/>
      <c r="B666" s="56"/>
      <c r="C666" s="56"/>
      <c r="D666" s="57"/>
      <c r="Q666" s="1"/>
      <c r="R666" s="1"/>
      <c r="S666" s="1"/>
    </row>
    <row r="667" spans="1:19" s="58" customFormat="1">
      <c r="A667" s="1"/>
      <c r="B667" s="56"/>
      <c r="C667" s="56"/>
      <c r="D667" s="57"/>
      <c r="Q667" s="1"/>
      <c r="R667" s="1"/>
      <c r="S667" s="1"/>
    </row>
    <row r="668" spans="1:19" s="58" customFormat="1">
      <c r="A668" s="1"/>
      <c r="B668" s="56"/>
      <c r="C668" s="56"/>
      <c r="D668" s="57"/>
      <c r="Q668" s="1"/>
      <c r="R668" s="1"/>
      <c r="S668" s="1"/>
    </row>
    <row r="669" spans="1:19" s="58" customFormat="1">
      <c r="A669" s="1"/>
      <c r="B669" s="56"/>
      <c r="C669" s="56"/>
      <c r="D669" s="57"/>
      <c r="Q669" s="1"/>
      <c r="R669" s="1"/>
      <c r="S669" s="1"/>
    </row>
    <row r="670" spans="1:19" s="58" customFormat="1">
      <c r="A670" s="1"/>
      <c r="B670" s="56"/>
      <c r="C670" s="56"/>
      <c r="D670" s="57"/>
      <c r="Q670" s="1"/>
      <c r="R670" s="1"/>
      <c r="S670" s="1"/>
    </row>
    <row r="671" spans="1:19" s="58" customFormat="1">
      <c r="A671" s="1"/>
      <c r="B671" s="56"/>
      <c r="C671" s="56"/>
      <c r="D671" s="57"/>
      <c r="Q671" s="1"/>
      <c r="R671" s="1"/>
      <c r="S671" s="1"/>
    </row>
    <row r="672" spans="1:19" s="58" customFormat="1">
      <c r="A672" s="1"/>
      <c r="B672" s="56"/>
      <c r="C672" s="56"/>
      <c r="D672" s="57"/>
      <c r="Q672" s="1"/>
      <c r="R672" s="1"/>
      <c r="S672" s="1"/>
    </row>
    <row r="673" spans="1:19" s="58" customFormat="1">
      <c r="A673" s="1"/>
      <c r="B673" s="56"/>
      <c r="C673" s="56"/>
      <c r="D673" s="57"/>
      <c r="Q673" s="1"/>
      <c r="R673" s="1"/>
      <c r="S673" s="1"/>
    </row>
    <row r="674" spans="1:19" s="58" customFormat="1">
      <c r="A674" s="1"/>
      <c r="B674" s="56"/>
      <c r="C674" s="56"/>
      <c r="D674" s="57"/>
      <c r="Q674" s="1"/>
      <c r="R674" s="1"/>
      <c r="S674" s="1"/>
    </row>
    <row r="675" spans="1:19" s="58" customFormat="1">
      <c r="A675" s="1"/>
      <c r="B675" s="56"/>
      <c r="C675" s="56"/>
      <c r="D675" s="57"/>
      <c r="Q675" s="1"/>
      <c r="R675" s="1"/>
      <c r="S675" s="1"/>
    </row>
    <row r="676" spans="1:19" s="58" customFormat="1">
      <c r="A676" s="1"/>
      <c r="B676" s="56"/>
      <c r="C676" s="56"/>
      <c r="D676" s="57"/>
      <c r="Q676" s="1"/>
      <c r="R676" s="1"/>
      <c r="S676" s="1"/>
    </row>
    <row r="677" spans="1:19" s="58" customFormat="1">
      <c r="A677" s="1"/>
      <c r="B677" s="56"/>
      <c r="C677" s="56"/>
      <c r="D677" s="57"/>
      <c r="Q677" s="1"/>
      <c r="R677" s="1"/>
      <c r="S677" s="1"/>
    </row>
    <row r="678" spans="1:19" s="58" customFormat="1">
      <c r="A678" s="1"/>
      <c r="B678" s="56"/>
      <c r="C678" s="56"/>
      <c r="D678" s="57"/>
      <c r="Q678" s="1"/>
      <c r="R678" s="1"/>
      <c r="S678" s="1"/>
    </row>
    <row r="679" spans="1:19" s="58" customFormat="1">
      <c r="A679" s="1"/>
      <c r="B679" s="56"/>
      <c r="C679" s="56"/>
      <c r="D679" s="57"/>
      <c r="Q679" s="1"/>
      <c r="R679" s="1"/>
      <c r="S679" s="1"/>
    </row>
    <row r="680" spans="1:19" s="58" customFormat="1">
      <c r="A680" s="1"/>
      <c r="B680" s="56"/>
      <c r="C680" s="56"/>
      <c r="D680" s="57"/>
      <c r="Q680" s="1"/>
      <c r="R680" s="1"/>
      <c r="S680" s="1"/>
    </row>
    <row r="681" spans="1:19" s="58" customFormat="1">
      <c r="A681" s="1"/>
      <c r="B681" s="56"/>
      <c r="C681" s="56"/>
      <c r="D681" s="57"/>
      <c r="Q681" s="1"/>
      <c r="R681" s="1"/>
      <c r="S681" s="1"/>
    </row>
    <row r="682" spans="1:19" s="58" customFormat="1">
      <c r="A682" s="1"/>
      <c r="B682" s="56"/>
      <c r="C682" s="56"/>
      <c r="D682" s="57"/>
      <c r="Q682" s="1"/>
      <c r="R682" s="1"/>
      <c r="S682" s="1"/>
    </row>
    <row r="683" spans="1:19" s="58" customFormat="1">
      <c r="A683" s="1"/>
      <c r="B683" s="56"/>
      <c r="C683" s="56"/>
      <c r="D683" s="57"/>
      <c r="Q683" s="1"/>
      <c r="R683" s="1"/>
      <c r="S683" s="1"/>
    </row>
    <row r="684" spans="1:19" s="58" customFormat="1">
      <c r="A684" s="1"/>
      <c r="B684" s="56"/>
      <c r="C684" s="56"/>
      <c r="D684" s="57"/>
      <c r="Q684" s="1"/>
      <c r="R684" s="1"/>
      <c r="S684" s="1"/>
    </row>
    <row r="685" spans="1:19" s="58" customFormat="1">
      <c r="A685" s="1"/>
      <c r="B685" s="56"/>
      <c r="C685" s="56"/>
      <c r="D685" s="57"/>
      <c r="Q685" s="1"/>
      <c r="R685" s="1"/>
      <c r="S685" s="1"/>
    </row>
    <row r="686" spans="1:19" s="58" customFormat="1">
      <c r="A686" s="1"/>
      <c r="B686" s="56"/>
      <c r="C686" s="56"/>
      <c r="D686" s="57"/>
      <c r="Q686" s="1"/>
      <c r="R686" s="1"/>
      <c r="S686" s="1"/>
    </row>
    <row r="687" spans="1:19" s="58" customFormat="1">
      <c r="A687" s="1"/>
      <c r="B687" s="56"/>
      <c r="C687" s="56"/>
      <c r="D687" s="57"/>
      <c r="Q687" s="1"/>
      <c r="R687" s="1"/>
      <c r="S687" s="1"/>
    </row>
    <row r="688" spans="1:19" s="58" customFormat="1">
      <c r="A688" s="1"/>
      <c r="B688" s="56"/>
      <c r="C688" s="56"/>
      <c r="D688" s="57"/>
      <c r="Q688" s="1"/>
      <c r="R688" s="1"/>
      <c r="S688" s="1"/>
    </row>
    <row r="689" spans="1:19" s="58" customFormat="1">
      <c r="A689" s="1"/>
      <c r="B689" s="56"/>
      <c r="C689" s="56"/>
      <c r="D689" s="57"/>
      <c r="Q689" s="1"/>
      <c r="R689" s="1"/>
      <c r="S689" s="1"/>
    </row>
    <row r="690" spans="1:19" s="58" customFormat="1">
      <c r="A690" s="1"/>
      <c r="B690" s="56"/>
      <c r="C690" s="56"/>
      <c r="D690" s="57"/>
      <c r="Q690" s="1"/>
      <c r="R690" s="1"/>
      <c r="S690" s="1"/>
    </row>
    <row r="691" spans="1:19" s="58" customFormat="1">
      <c r="A691" s="1"/>
      <c r="B691" s="56"/>
      <c r="C691" s="56"/>
      <c r="D691" s="57"/>
      <c r="Q691" s="1"/>
      <c r="R691" s="1"/>
      <c r="S691" s="1"/>
    </row>
    <row r="692" spans="1:19" s="58" customFormat="1">
      <c r="A692" s="1"/>
      <c r="B692" s="56"/>
      <c r="C692" s="56"/>
      <c r="D692" s="57"/>
      <c r="Q692" s="1"/>
      <c r="R692" s="1"/>
      <c r="S692" s="1"/>
    </row>
    <row r="693" spans="1:19" s="58" customFormat="1">
      <c r="A693" s="1"/>
      <c r="B693" s="56"/>
      <c r="C693" s="56"/>
      <c r="D693" s="57"/>
      <c r="Q693" s="1"/>
      <c r="R693" s="1"/>
      <c r="S693" s="1"/>
    </row>
    <row r="694" spans="1:19" s="58" customFormat="1">
      <c r="A694" s="1"/>
      <c r="B694" s="56"/>
      <c r="C694" s="56"/>
      <c r="D694" s="57"/>
      <c r="Q694" s="1"/>
      <c r="R694" s="1"/>
      <c r="S694" s="1"/>
    </row>
    <row r="695" spans="1:19" s="58" customFormat="1">
      <c r="A695" s="1"/>
      <c r="B695" s="56"/>
      <c r="C695" s="56"/>
      <c r="D695" s="57"/>
      <c r="Q695" s="1"/>
      <c r="R695" s="1"/>
      <c r="S695" s="1"/>
    </row>
    <row r="696" spans="1:19" s="58" customFormat="1">
      <c r="A696" s="1"/>
      <c r="B696" s="56"/>
      <c r="C696" s="56"/>
      <c r="D696" s="57"/>
      <c r="Q696" s="1"/>
      <c r="R696" s="1"/>
      <c r="S696" s="1"/>
    </row>
    <row r="697" spans="1:19" s="58" customFormat="1">
      <c r="A697" s="1"/>
      <c r="B697" s="56"/>
      <c r="C697" s="56"/>
      <c r="D697" s="57"/>
      <c r="Q697" s="1"/>
      <c r="R697" s="1"/>
      <c r="S697" s="1"/>
    </row>
    <row r="698" spans="1:19" s="58" customFormat="1">
      <c r="A698" s="1"/>
      <c r="B698" s="56"/>
      <c r="C698" s="56"/>
      <c r="D698" s="57"/>
      <c r="Q698" s="1"/>
      <c r="R698" s="1"/>
      <c r="S698" s="1"/>
    </row>
    <row r="699" spans="1:19" s="58" customFormat="1">
      <c r="A699" s="1"/>
      <c r="B699" s="56"/>
      <c r="C699" s="56"/>
      <c r="D699" s="57"/>
      <c r="Q699" s="1"/>
      <c r="R699" s="1"/>
      <c r="S699" s="1"/>
    </row>
    <row r="700" spans="1:19" s="58" customFormat="1">
      <c r="A700" s="1"/>
      <c r="B700" s="56"/>
      <c r="C700" s="56"/>
      <c r="D700" s="57"/>
      <c r="Q700" s="1"/>
      <c r="R700" s="1"/>
      <c r="S700" s="1"/>
    </row>
    <row r="701" spans="1:19" s="58" customFormat="1">
      <c r="A701" s="1"/>
      <c r="B701" s="56"/>
      <c r="C701" s="56"/>
      <c r="D701" s="57"/>
      <c r="Q701" s="1"/>
      <c r="R701" s="1"/>
      <c r="S701" s="1"/>
    </row>
    <row r="702" spans="1:19" s="58" customFormat="1">
      <c r="A702" s="1"/>
      <c r="B702" s="56"/>
      <c r="C702" s="56"/>
      <c r="D702" s="57"/>
      <c r="Q702" s="1"/>
      <c r="R702" s="1"/>
      <c r="S702" s="1"/>
    </row>
    <row r="703" spans="1:19" s="58" customFormat="1">
      <c r="A703" s="1"/>
      <c r="B703" s="56"/>
      <c r="C703" s="56"/>
      <c r="D703" s="57"/>
      <c r="Q703" s="1"/>
      <c r="R703" s="1"/>
      <c r="S703" s="1"/>
    </row>
    <row r="704" spans="1:19" s="58" customFormat="1">
      <c r="A704" s="1"/>
      <c r="B704" s="56"/>
      <c r="C704" s="56"/>
      <c r="D704" s="57"/>
      <c r="Q704" s="1"/>
      <c r="R704" s="1"/>
      <c r="S704" s="1"/>
    </row>
    <row r="705" spans="1:19" s="58" customFormat="1">
      <c r="A705" s="1"/>
      <c r="B705" s="56"/>
      <c r="C705" s="56"/>
      <c r="D705" s="57"/>
      <c r="Q705" s="1"/>
      <c r="R705" s="1"/>
      <c r="S705" s="1"/>
    </row>
    <row r="706" spans="1:19" s="58" customFormat="1">
      <c r="A706" s="1"/>
      <c r="B706" s="56"/>
      <c r="C706" s="56"/>
      <c r="D706" s="57"/>
      <c r="Q706" s="1"/>
      <c r="R706" s="1"/>
      <c r="S706" s="1"/>
    </row>
    <row r="707" spans="1:19" s="58" customFormat="1">
      <c r="A707" s="1"/>
      <c r="B707" s="56"/>
      <c r="C707" s="56"/>
      <c r="D707" s="57"/>
      <c r="Q707" s="1"/>
      <c r="R707" s="1"/>
      <c r="S707" s="1"/>
    </row>
    <row r="708" spans="1:19" s="58" customFormat="1">
      <c r="A708" s="1"/>
      <c r="B708" s="56"/>
      <c r="C708" s="56"/>
      <c r="D708" s="57"/>
      <c r="Q708" s="1"/>
      <c r="R708" s="1"/>
      <c r="S708" s="1"/>
    </row>
    <row r="709" spans="1:19" s="58" customFormat="1">
      <c r="A709" s="1"/>
      <c r="B709" s="56"/>
      <c r="C709" s="56"/>
      <c r="D709" s="57"/>
      <c r="Q709" s="1"/>
      <c r="R709" s="1"/>
      <c r="S709" s="1"/>
    </row>
    <row r="710" spans="1:19" s="58" customFormat="1">
      <c r="A710" s="1"/>
      <c r="B710" s="56"/>
      <c r="C710" s="56"/>
      <c r="D710" s="57"/>
      <c r="Q710" s="1"/>
      <c r="R710" s="1"/>
      <c r="S710" s="1"/>
    </row>
    <row r="711" spans="1:19" s="58" customFormat="1">
      <c r="A711" s="1"/>
      <c r="B711" s="56"/>
      <c r="C711" s="56"/>
      <c r="D711" s="57"/>
      <c r="Q711" s="1"/>
      <c r="R711" s="1"/>
      <c r="S711" s="1"/>
    </row>
    <row r="712" spans="1:19" s="58" customFormat="1">
      <c r="A712" s="1"/>
      <c r="B712" s="56"/>
      <c r="C712" s="56"/>
      <c r="D712" s="57"/>
      <c r="Q712" s="1"/>
      <c r="R712" s="1"/>
      <c r="S712" s="1"/>
    </row>
    <row r="713" spans="1:19" s="58" customFormat="1">
      <c r="A713" s="1"/>
      <c r="B713" s="56"/>
      <c r="C713" s="56"/>
      <c r="D713" s="57"/>
      <c r="Q713" s="1"/>
      <c r="R713" s="1"/>
      <c r="S713" s="1"/>
    </row>
    <row r="714" spans="1:19" s="58" customFormat="1">
      <c r="A714" s="1"/>
      <c r="B714" s="56"/>
      <c r="C714" s="56"/>
      <c r="D714" s="57"/>
      <c r="Q714" s="1"/>
      <c r="R714" s="1"/>
      <c r="S714" s="1"/>
    </row>
    <row r="715" spans="1:19" s="58" customFormat="1">
      <c r="A715" s="1"/>
      <c r="B715" s="56"/>
      <c r="C715" s="56"/>
      <c r="D715" s="57"/>
      <c r="Q715" s="1"/>
      <c r="R715" s="1"/>
      <c r="S715" s="1"/>
    </row>
    <row r="716" spans="1:19" s="58" customFormat="1">
      <c r="A716" s="1"/>
      <c r="B716" s="56"/>
      <c r="C716" s="56"/>
      <c r="D716" s="57"/>
      <c r="Q716" s="1"/>
      <c r="R716" s="1"/>
      <c r="S716" s="1"/>
    </row>
    <row r="717" spans="1:19" s="58" customFormat="1">
      <c r="A717" s="1"/>
      <c r="B717" s="56"/>
      <c r="C717" s="56"/>
      <c r="D717" s="57"/>
      <c r="Q717" s="1"/>
      <c r="R717" s="1"/>
      <c r="S717" s="1"/>
    </row>
    <row r="718" spans="1:19" s="58" customFormat="1">
      <c r="A718" s="1"/>
      <c r="B718" s="56"/>
      <c r="C718" s="56"/>
      <c r="D718" s="57"/>
      <c r="Q718" s="1"/>
      <c r="R718" s="1"/>
      <c r="S718" s="1"/>
    </row>
    <row r="719" spans="1:19" s="58" customFormat="1">
      <c r="A719" s="1"/>
      <c r="B719" s="56"/>
      <c r="C719" s="56"/>
      <c r="D719" s="57"/>
      <c r="Q719" s="1"/>
      <c r="R719" s="1"/>
      <c r="S719" s="1"/>
    </row>
    <row r="720" spans="1:19" s="58" customFormat="1">
      <c r="A720" s="1"/>
      <c r="B720" s="56"/>
      <c r="C720" s="56"/>
      <c r="D720" s="57"/>
      <c r="Q720" s="1"/>
      <c r="R720" s="1"/>
      <c r="S720" s="1"/>
    </row>
    <row r="721" spans="1:19" s="58" customFormat="1">
      <c r="A721" s="1"/>
      <c r="B721" s="56"/>
      <c r="C721" s="56"/>
      <c r="D721" s="57"/>
      <c r="Q721" s="1"/>
      <c r="R721" s="1"/>
      <c r="S721" s="1"/>
    </row>
    <row r="722" spans="1:19" s="58" customFormat="1">
      <c r="A722" s="1"/>
      <c r="B722" s="56"/>
      <c r="C722" s="56"/>
      <c r="D722" s="57"/>
      <c r="Q722" s="1"/>
      <c r="R722" s="1"/>
      <c r="S722" s="1"/>
    </row>
    <row r="723" spans="1:19" s="58" customFormat="1">
      <c r="A723" s="1"/>
      <c r="B723" s="56"/>
      <c r="C723" s="56"/>
      <c r="D723" s="57"/>
      <c r="Q723" s="1"/>
      <c r="R723" s="1"/>
      <c r="S723" s="1"/>
    </row>
    <row r="724" spans="1:19" s="58" customFormat="1">
      <c r="A724" s="1"/>
      <c r="B724" s="56"/>
      <c r="C724" s="56"/>
      <c r="D724" s="57"/>
      <c r="Q724" s="1"/>
      <c r="R724" s="1"/>
      <c r="S724" s="1"/>
    </row>
    <row r="725" spans="1:19" s="58" customFormat="1">
      <c r="A725" s="1"/>
      <c r="B725" s="56"/>
      <c r="C725" s="56"/>
      <c r="D725" s="57"/>
      <c r="Q725" s="1"/>
      <c r="R725" s="1"/>
      <c r="S725" s="1"/>
    </row>
    <row r="726" spans="1:19" s="58" customFormat="1">
      <c r="A726" s="1"/>
      <c r="B726" s="56"/>
      <c r="C726" s="56"/>
      <c r="D726" s="57"/>
      <c r="Q726" s="1"/>
      <c r="R726" s="1"/>
      <c r="S726" s="1"/>
    </row>
    <row r="727" spans="1:19" s="58" customFormat="1">
      <c r="A727" s="1"/>
      <c r="B727" s="56"/>
      <c r="C727" s="56"/>
      <c r="D727" s="57"/>
      <c r="Q727" s="1"/>
      <c r="R727" s="1"/>
      <c r="S727" s="1"/>
    </row>
    <row r="728" spans="1:19" s="58" customFormat="1">
      <c r="A728" s="1"/>
      <c r="B728" s="56"/>
      <c r="C728" s="56"/>
      <c r="D728" s="57"/>
      <c r="Q728" s="1"/>
      <c r="R728" s="1"/>
      <c r="S728" s="1"/>
    </row>
    <row r="729" spans="1:19" s="58" customFormat="1">
      <c r="A729" s="1"/>
      <c r="B729" s="56"/>
      <c r="C729" s="56"/>
      <c r="D729" s="57"/>
      <c r="Q729" s="1"/>
      <c r="R729" s="1"/>
      <c r="S729" s="1"/>
    </row>
    <row r="730" spans="1:19" s="58" customFormat="1">
      <c r="A730" s="1"/>
      <c r="B730" s="56"/>
      <c r="C730" s="56"/>
      <c r="D730" s="57"/>
      <c r="Q730" s="1"/>
      <c r="R730" s="1"/>
      <c r="S730" s="1"/>
    </row>
    <row r="731" spans="1:19" s="58" customFormat="1">
      <c r="A731" s="1"/>
      <c r="B731" s="56"/>
      <c r="C731" s="56"/>
      <c r="D731" s="57"/>
      <c r="Q731" s="1"/>
      <c r="R731" s="1"/>
      <c r="S731" s="1"/>
    </row>
    <row r="732" spans="1:19" s="58" customFormat="1">
      <c r="A732" s="1"/>
      <c r="B732" s="56"/>
      <c r="C732" s="56"/>
      <c r="D732" s="57"/>
      <c r="Q732" s="1"/>
      <c r="R732" s="1"/>
      <c r="S732" s="1"/>
    </row>
    <row r="733" spans="1:19" s="58" customFormat="1">
      <c r="A733" s="1"/>
      <c r="B733" s="56"/>
      <c r="C733" s="56"/>
      <c r="D733" s="57"/>
      <c r="Q733" s="1"/>
      <c r="R733" s="1"/>
      <c r="S733" s="1"/>
    </row>
    <row r="734" spans="1:19" s="58" customFormat="1">
      <c r="A734" s="1"/>
      <c r="B734" s="56"/>
      <c r="C734" s="56"/>
      <c r="D734" s="57"/>
      <c r="Q734" s="1"/>
      <c r="R734" s="1"/>
      <c r="S734" s="1"/>
    </row>
    <row r="735" spans="1:19" s="58" customFormat="1">
      <c r="A735" s="1"/>
      <c r="B735" s="56"/>
      <c r="C735" s="56"/>
      <c r="D735" s="57"/>
      <c r="Q735" s="1"/>
      <c r="R735" s="1"/>
      <c r="S735" s="1"/>
    </row>
    <row r="736" spans="1:19" s="58" customFormat="1">
      <c r="A736" s="1"/>
      <c r="B736" s="56"/>
      <c r="C736" s="56"/>
      <c r="D736" s="57"/>
      <c r="Q736" s="1"/>
      <c r="R736" s="1"/>
      <c r="S736" s="1"/>
    </row>
    <row r="737" spans="1:19" s="58" customFormat="1">
      <c r="A737" s="1"/>
      <c r="B737" s="56"/>
      <c r="C737" s="56"/>
      <c r="D737" s="57"/>
      <c r="Q737" s="1"/>
      <c r="R737" s="1"/>
      <c r="S737" s="1"/>
    </row>
    <row r="738" spans="1:19" s="58" customFormat="1">
      <c r="A738" s="1"/>
      <c r="B738" s="56"/>
      <c r="C738" s="56"/>
      <c r="D738" s="57"/>
      <c r="Q738" s="1"/>
      <c r="R738" s="1"/>
      <c r="S738" s="1"/>
    </row>
    <row r="739" spans="1:19" s="58" customFormat="1">
      <c r="A739" s="1"/>
      <c r="B739" s="56"/>
      <c r="C739" s="56"/>
      <c r="D739" s="57"/>
      <c r="Q739" s="1"/>
      <c r="R739" s="1"/>
      <c r="S739" s="1"/>
    </row>
    <row r="740" spans="1:19" s="58" customFormat="1">
      <c r="A740" s="1"/>
      <c r="B740" s="56"/>
      <c r="C740" s="56"/>
      <c r="D740" s="57"/>
      <c r="Q740" s="1"/>
      <c r="R740" s="1"/>
      <c r="S740" s="1"/>
    </row>
    <row r="741" spans="1:19" s="58" customFormat="1">
      <c r="A741" s="1"/>
      <c r="B741" s="56"/>
      <c r="C741" s="56"/>
      <c r="D741" s="57"/>
      <c r="Q741" s="1"/>
      <c r="R741" s="1"/>
      <c r="S741" s="1"/>
    </row>
    <row r="742" spans="1:19" s="58" customFormat="1">
      <c r="A742" s="1"/>
      <c r="B742" s="56"/>
      <c r="C742" s="56"/>
      <c r="D742" s="57"/>
      <c r="Q742" s="1"/>
      <c r="R742" s="1"/>
      <c r="S742" s="1"/>
    </row>
    <row r="743" spans="1:19" s="58" customFormat="1">
      <c r="A743" s="1"/>
      <c r="B743" s="56"/>
      <c r="C743" s="56"/>
      <c r="D743" s="57"/>
      <c r="Q743" s="1"/>
      <c r="R743" s="1"/>
      <c r="S743" s="1"/>
    </row>
    <row r="744" spans="1:19" s="58" customFormat="1">
      <c r="A744" s="1"/>
      <c r="B744" s="56"/>
      <c r="C744" s="56"/>
      <c r="D744" s="57"/>
      <c r="Q744" s="1"/>
      <c r="R744" s="1"/>
      <c r="S744" s="1"/>
    </row>
    <row r="745" spans="1:19" s="58" customFormat="1">
      <c r="A745" s="1"/>
      <c r="B745" s="56"/>
      <c r="C745" s="56"/>
      <c r="D745" s="57"/>
      <c r="Q745" s="1"/>
      <c r="R745" s="1"/>
      <c r="S745" s="1"/>
    </row>
    <row r="746" spans="1:19" s="58" customFormat="1">
      <c r="A746" s="1"/>
      <c r="B746" s="56"/>
      <c r="C746" s="56"/>
      <c r="D746" s="57"/>
      <c r="Q746" s="1"/>
      <c r="R746" s="1"/>
      <c r="S746" s="1"/>
    </row>
    <row r="747" spans="1:19" s="58" customFormat="1">
      <c r="A747" s="1"/>
      <c r="B747" s="56"/>
      <c r="C747" s="56"/>
      <c r="D747" s="57"/>
      <c r="Q747" s="1"/>
      <c r="R747" s="1"/>
      <c r="S747" s="1"/>
    </row>
    <row r="748" spans="1:19" s="58" customFormat="1">
      <c r="A748" s="1"/>
      <c r="B748" s="56"/>
      <c r="C748" s="56"/>
      <c r="D748" s="57"/>
      <c r="Q748" s="1"/>
      <c r="R748" s="1"/>
      <c r="S748" s="1"/>
    </row>
    <row r="749" spans="1:19" s="58" customFormat="1">
      <c r="A749" s="1"/>
      <c r="B749" s="56"/>
      <c r="C749" s="56"/>
      <c r="D749" s="57"/>
      <c r="Q749" s="1"/>
      <c r="R749" s="1"/>
      <c r="S749" s="1"/>
    </row>
    <row r="750" spans="1:19" s="58" customFormat="1">
      <c r="A750" s="1"/>
      <c r="B750" s="56"/>
      <c r="C750" s="56"/>
      <c r="D750" s="57"/>
      <c r="Q750" s="1"/>
      <c r="R750" s="1"/>
      <c r="S750" s="1"/>
    </row>
    <row r="751" spans="1:19" s="58" customFormat="1">
      <c r="A751" s="1"/>
      <c r="B751" s="56"/>
      <c r="C751" s="56"/>
      <c r="D751" s="57"/>
      <c r="Q751" s="1"/>
      <c r="R751" s="1"/>
      <c r="S751" s="1"/>
    </row>
    <row r="752" spans="1:19" s="58" customFormat="1">
      <c r="A752" s="1"/>
      <c r="B752" s="56"/>
      <c r="C752" s="56"/>
      <c r="D752" s="57"/>
      <c r="Q752" s="1"/>
      <c r="R752" s="1"/>
      <c r="S752" s="1"/>
    </row>
    <row r="753" spans="1:19" s="58" customFormat="1">
      <c r="A753" s="1"/>
      <c r="B753" s="56"/>
      <c r="C753" s="56"/>
      <c r="D753" s="57"/>
      <c r="Q753" s="1"/>
      <c r="R753" s="1"/>
      <c r="S753" s="1"/>
    </row>
    <row r="754" spans="1:19" s="58" customFormat="1">
      <c r="A754" s="1"/>
      <c r="B754" s="56"/>
      <c r="C754" s="56"/>
      <c r="D754" s="57"/>
      <c r="Q754" s="1"/>
      <c r="R754" s="1"/>
      <c r="S754" s="1"/>
    </row>
    <row r="755" spans="1:19" s="58" customFormat="1">
      <c r="A755" s="1"/>
      <c r="B755" s="56"/>
      <c r="C755" s="56"/>
      <c r="D755" s="57"/>
      <c r="Q755" s="1"/>
      <c r="R755" s="1"/>
      <c r="S755" s="1"/>
    </row>
    <row r="756" spans="1:19" s="58" customFormat="1">
      <c r="A756" s="1"/>
      <c r="B756" s="56"/>
      <c r="C756" s="56"/>
      <c r="D756" s="57"/>
      <c r="Q756" s="1"/>
      <c r="R756" s="1"/>
      <c r="S756" s="1"/>
    </row>
    <row r="757" spans="1:19" s="58" customFormat="1">
      <c r="A757" s="1"/>
      <c r="B757" s="56"/>
      <c r="C757" s="56"/>
      <c r="D757" s="57"/>
      <c r="Q757" s="1"/>
      <c r="R757" s="1"/>
      <c r="S757" s="1"/>
    </row>
    <row r="758" spans="1:19" s="58" customFormat="1">
      <c r="A758" s="1"/>
      <c r="B758" s="56"/>
      <c r="C758" s="56"/>
      <c r="D758" s="57"/>
      <c r="Q758" s="1"/>
      <c r="R758" s="1"/>
      <c r="S758" s="1"/>
    </row>
    <row r="759" spans="1:19" s="58" customFormat="1">
      <c r="A759" s="1"/>
      <c r="B759" s="56"/>
      <c r="C759" s="56"/>
      <c r="D759" s="57"/>
      <c r="Q759" s="1"/>
      <c r="R759" s="1"/>
      <c r="S759" s="1"/>
    </row>
    <row r="760" spans="1:19" s="58" customFormat="1">
      <c r="A760" s="1"/>
      <c r="B760" s="56"/>
      <c r="C760" s="56"/>
      <c r="D760" s="57"/>
      <c r="Q760" s="1"/>
      <c r="R760" s="1"/>
      <c r="S760" s="1"/>
    </row>
    <row r="761" spans="1:19" s="58" customFormat="1">
      <c r="A761" s="1"/>
      <c r="B761" s="56"/>
      <c r="C761" s="56"/>
      <c r="D761" s="57"/>
      <c r="Q761" s="1"/>
      <c r="R761" s="1"/>
      <c r="S761" s="1"/>
    </row>
    <row r="762" spans="1:19" s="58" customFormat="1">
      <c r="A762" s="1"/>
      <c r="B762" s="56"/>
      <c r="C762" s="56"/>
      <c r="D762" s="57"/>
      <c r="Q762" s="1"/>
      <c r="R762" s="1"/>
      <c r="S762" s="1"/>
    </row>
    <row r="763" spans="1:19" s="58" customFormat="1">
      <c r="A763" s="1"/>
      <c r="B763" s="56"/>
      <c r="C763" s="56"/>
      <c r="D763" s="57"/>
      <c r="Q763" s="1"/>
      <c r="R763" s="1"/>
      <c r="S763" s="1"/>
    </row>
    <row r="764" spans="1:19" s="58" customFormat="1">
      <c r="A764" s="1"/>
      <c r="B764" s="56"/>
      <c r="C764" s="56"/>
      <c r="D764" s="57"/>
      <c r="Q764" s="1"/>
      <c r="R764" s="1"/>
      <c r="S764" s="1"/>
    </row>
    <row r="765" spans="1:19" s="58" customFormat="1">
      <c r="A765" s="1"/>
      <c r="B765" s="56"/>
      <c r="C765" s="56"/>
      <c r="D765" s="57"/>
      <c r="Q765" s="1"/>
      <c r="R765" s="1"/>
      <c r="S765" s="1"/>
    </row>
    <row r="766" spans="1:19" s="58" customFormat="1">
      <c r="A766" s="1"/>
      <c r="B766" s="56"/>
      <c r="C766" s="56"/>
      <c r="D766" s="57"/>
      <c r="Q766" s="1"/>
      <c r="R766" s="1"/>
      <c r="S766" s="1"/>
    </row>
    <row r="767" spans="1:19" s="58" customFormat="1">
      <c r="A767" s="1"/>
      <c r="B767" s="56"/>
      <c r="C767" s="56"/>
      <c r="D767" s="57"/>
      <c r="Q767" s="1"/>
      <c r="R767" s="1"/>
      <c r="S767" s="1"/>
    </row>
    <row r="768" spans="1:19" s="58" customFormat="1">
      <c r="A768" s="1"/>
      <c r="B768" s="56"/>
      <c r="C768" s="56"/>
      <c r="D768" s="57"/>
      <c r="Q768" s="1"/>
      <c r="R768" s="1"/>
      <c r="S768" s="1"/>
    </row>
    <row r="769" spans="1:19" s="58" customFormat="1">
      <c r="A769" s="1"/>
      <c r="B769" s="56"/>
      <c r="C769" s="56"/>
      <c r="D769" s="57"/>
      <c r="Q769" s="1"/>
      <c r="R769" s="1"/>
      <c r="S769" s="1"/>
    </row>
    <row r="770" spans="1:19" s="58" customFormat="1">
      <c r="A770" s="1"/>
      <c r="B770" s="56"/>
      <c r="C770" s="56"/>
      <c r="D770" s="57"/>
      <c r="Q770" s="1"/>
      <c r="R770" s="1"/>
      <c r="S770" s="1"/>
    </row>
    <row r="771" spans="1:19" s="58" customFormat="1">
      <c r="A771" s="1"/>
      <c r="B771" s="56"/>
      <c r="C771" s="56"/>
      <c r="D771" s="57"/>
      <c r="Q771" s="1"/>
      <c r="R771" s="1"/>
      <c r="S771" s="1"/>
    </row>
    <row r="772" spans="1:19" s="58" customFormat="1">
      <c r="A772" s="1"/>
      <c r="B772" s="56"/>
      <c r="C772" s="56"/>
      <c r="D772" s="57"/>
      <c r="Q772" s="1"/>
      <c r="R772" s="1"/>
      <c r="S772" s="1"/>
    </row>
    <row r="773" spans="1:19" s="58" customFormat="1">
      <c r="A773" s="1"/>
      <c r="B773" s="56"/>
      <c r="C773" s="56"/>
      <c r="D773" s="57"/>
      <c r="Q773" s="1"/>
      <c r="R773" s="1"/>
      <c r="S773" s="1"/>
    </row>
    <row r="774" spans="1:19" s="58" customFormat="1">
      <c r="A774" s="1"/>
      <c r="B774" s="56"/>
      <c r="C774" s="56"/>
      <c r="D774" s="57"/>
      <c r="Q774" s="1"/>
      <c r="R774" s="1"/>
      <c r="S774" s="1"/>
    </row>
    <row r="775" spans="1:19" s="58" customFormat="1">
      <c r="A775" s="1"/>
      <c r="B775" s="56"/>
      <c r="C775" s="56"/>
      <c r="D775" s="57"/>
      <c r="Q775" s="1"/>
      <c r="R775" s="1"/>
      <c r="S775" s="1"/>
    </row>
    <row r="776" spans="1:19" s="58" customFormat="1">
      <c r="A776" s="1"/>
      <c r="B776" s="56"/>
      <c r="C776" s="56"/>
      <c r="D776" s="57"/>
      <c r="Q776" s="1"/>
      <c r="R776" s="1"/>
      <c r="S776" s="1"/>
    </row>
    <row r="777" spans="1:19" s="58" customFormat="1">
      <c r="A777" s="1"/>
      <c r="B777" s="56"/>
      <c r="C777" s="56"/>
      <c r="D777" s="57"/>
      <c r="Q777" s="1"/>
      <c r="R777" s="1"/>
      <c r="S777" s="1"/>
    </row>
    <row r="778" spans="1:19" s="58" customFormat="1">
      <c r="A778" s="1"/>
      <c r="B778" s="56"/>
      <c r="C778" s="56"/>
      <c r="D778" s="57"/>
      <c r="Q778" s="1"/>
      <c r="R778" s="1"/>
      <c r="S778" s="1"/>
    </row>
    <row r="779" spans="1:19" s="58" customFormat="1">
      <c r="A779" s="1"/>
      <c r="B779" s="56"/>
      <c r="C779" s="56"/>
      <c r="D779" s="57"/>
      <c r="Q779" s="1"/>
      <c r="R779" s="1"/>
      <c r="S779" s="1"/>
    </row>
    <row r="780" spans="1:19" s="58" customFormat="1">
      <c r="A780" s="1"/>
      <c r="B780" s="56"/>
      <c r="C780" s="56"/>
      <c r="D780" s="57"/>
      <c r="Q780" s="1"/>
      <c r="R780" s="1"/>
      <c r="S780" s="1"/>
    </row>
    <row r="781" spans="1:19" s="58" customFormat="1">
      <c r="A781" s="1"/>
      <c r="B781" s="56"/>
      <c r="C781" s="56"/>
      <c r="D781" s="57"/>
      <c r="Q781" s="1"/>
      <c r="R781" s="1"/>
      <c r="S781" s="1"/>
    </row>
    <row r="782" spans="1:19" s="58" customFormat="1">
      <c r="A782" s="1"/>
      <c r="B782" s="56"/>
      <c r="C782" s="56"/>
      <c r="D782" s="57"/>
      <c r="Q782" s="1"/>
      <c r="R782" s="1"/>
      <c r="S782" s="1"/>
    </row>
    <row r="783" spans="1:19" s="58" customFormat="1">
      <c r="A783" s="1"/>
      <c r="B783" s="56"/>
      <c r="C783" s="56"/>
      <c r="D783" s="57"/>
      <c r="Q783" s="1"/>
      <c r="R783" s="1"/>
      <c r="S783" s="1"/>
    </row>
    <row r="784" spans="1:19" s="58" customFormat="1">
      <c r="A784" s="1"/>
      <c r="B784" s="56"/>
      <c r="C784" s="56"/>
      <c r="D784" s="57"/>
      <c r="Q784" s="1"/>
      <c r="R784" s="1"/>
      <c r="S784" s="1"/>
    </row>
    <row r="785" spans="1:19" s="58" customFormat="1">
      <c r="A785" s="1"/>
      <c r="B785" s="56"/>
      <c r="C785" s="56"/>
      <c r="D785" s="57"/>
      <c r="Q785" s="1"/>
      <c r="R785" s="1"/>
      <c r="S785" s="1"/>
    </row>
    <row r="786" spans="1:19" s="58" customFormat="1">
      <c r="A786" s="1"/>
      <c r="B786" s="56"/>
      <c r="C786" s="56"/>
      <c r="D786" s="57"/>
      <c r="Q786" s="1"/>
      <c r="R786" s="1"/>
      <c r="S786" s="1"/>
    </row>
    <row r="787" spans="1:19" s="58" customFormat="1">
      <c r="A787" s="1"/>
      <c r="B787" s="56"/>
      <c r="C787" s="56"/>
      <c r="D787" s="57"/>
      <c r="Q787" s="1"/>
      <c r="R787" s="1"/>
      <c r="S787" s="1"/>
    </row>
    <row r="788" spans="1:19" s="58" customFormat="1">
      <c r="A788" s="1"/>
      <c r="B788" s="56"/>
      <c r="C788" s="56"/>
      <c r="D788" s="57"/>
      <c r="Q788" s="1"/>
      <c r="R788" s="1"/>
      <c r="S788" s="1"/>
    </row>
    <row r="789" spans="1:19" s="58" customFormat="1">
      <c r="A789" s="1"/>
      <c r="B789" s="56"/>
      <c r="C789" s="56"/>
      <c r="D789" s="57"/>
      <c r="Q789" s="1"/>
      <c r="R789" s="1"/>
      <c r="S789" s="1"/>
    </row>
    <row r="790" spans="1:19" s="58" customFormat="1">
      <c r="A790" s="1"/>
      <c r="B790" s="56"/>
      <c r="C790" s="56"/>
      <c r="D790" s="57"/>
      <c r="Q790" s="1"/>
      <c r="R790" s="1"/>
      <c r="S790" s="1"/>
    </row>
    <row r="791" spans="1:19" s="58" customFormat="1">
      <c r="A791" s="1"/>
      <c r="B791" s="56"/>
      <c r="C791" s="56"/>
      <c r="D791" s="57"/>
      <c r="Q791" s="1"/>
      <c r="R791" s="1"/>
      <c r="S791" s="1"/>
    </row>
    <row r="792" spans="1:19" s="58" customFormat="1">
      <c r="A792" s="1"/>
      <c r="B792" s="56"/>
      <c r="C792" s="56"/>
      <c r="D792" s="57"/>
      <c r="Q792" s="1"/>
      <c r="R792" s="1"/>
      <c r="S792" s="1"/>
    </row>
    <row r="793" spans="1:19" s="58" customFormat="1">
      <c r="A793" s="1"/>
      <c r="B793" s="56"/>
      <c r="C793" s="56"/>
      <c r="D793" s="57"/>
      <c r="Q793" s="1"/>
      <c r="R793" s="1"/>
      <c r="S793" s="1"/>
    </row>
    <row r="794" spans="1:19" s="58" customFormat="1">
      <c r="A794" s="1"/>
      <c r="B794" s="56"/>
      <c r="C794" s="56"/>
      <c r="D794" s="57"/>
      <c r="Q794" s="1"/>
      <c r="R794" s="1"/>
      <c r="S794" s="1"/>
    </row>
    <row r="795" spans="1:19" s="58" customFormat="1">
      <c r="A795" s="1"/>
      <c r="B795" s="56"/>
      <c r="C795" s="56"/>
      <c r="D795" s="57"/>
      <c r="Q795" s="1"/>
      <c r="R795" s="1"/>
      <c r="S795" s="1"/>
    </row>
    <row r="796" spans="1:19" s="58" customFormat="1">
      <c r="A796" s="1"/>
      <c r="B796" s="56"/>
      <c r="C796" s="56"/>
      <c r="D796" s="57"/>
      <c r="Q796" s="1"/>
      <c r="R796" s="1"/>
      <c r="S796" s="1"/>
    </row>
    <row r="797" spans="1:19" s="58" customFormat="1">
      <c r="A797" s="1"/>
      <c r="B797" s="56"/>
      <c r="C797" s="56"/>
      <c r="D797" s="57"/>
      <c r="Q797" s="1"/>
      <c r="R797" s="1"/>
      <c r="S797" s="1"/>
    </row>
    <row r="798" spans="1:19" s="58" customFormat="1">
      <c r="A798" s="1"/>
      <c r="B798" s="56"/>
      <c r="C798" s="56"/>
      <c r="D798" s="57"/>
      <c r="Q798" s="1"/>
      <c r="R798" s="1"/>
      <c r="S798" s="1"/>
    </row>
    <row r="799" spans="1:19" s="58" customFormat="1">
      <c r="A799" s="1"/>
      <c r="B799" s="56"/>
      <c r="C799" s="56"/>
      <c r="D799" s="57"/>
      <c r="Q799" s="1"/>
      <c r="R799" s="1"/>
      <c r="S799" s="1"/>
    </row>
    <row r="800" spans="1:19" s="58" customFormat="1">
      <c r="A800" s="1"/>
      <c r="B800" s="56"/>
      <c r="C800" s="56"/>
      <c r="D800" s="57"/>
      <c r="Q800" s="1"/>
      <c r="R800" s="1"/>
      <c r="S800" s="1"/>
    </row>
    <row r="801" spans="1:19" s="58" customFormat="1">
      <c r="A801" s="1"/>
      <c r="B801" s="56"/>
      <c r="C801" s="56"/>
      <c r="D801" s="57"/>
      <c r="Q801" s="1"/>
      <c r="R801" s="1"/>
      <c r="S801" s="1"/>
    </row>
    <row r="802" spans="1:19" s="58" customFormat="1">
      <c r="A802" s="1"/>
      <c r="B802" s="56"/>
      <c r="C802" s="56"/>
      <c r="D802" s="57"/>
      <c r="Q802" s="1"/>
      <c r="R802" s="1"/>
      <c r="S802" s="1"/>
    </row>
    <row r="803" spans="1:19" s="58" customFormat="1">
      <c r="A803" s="1"/>
      <c r="B803" s="56"/>
      <c r="C803" s="56"/>
      <c r="D803" s="57"/>
      <c r="Q803" s="1"/>
      <c r="R803" s="1"/>
      <c r="S803" s="1"/>
    </row>
    <row r="804" spans="1:19" s="58" customFormat="1">
      <c r="A804" s="1"/>
      <c r="B804" s="56"/>
      <c r="C804" s="56"/>
      <c r="D804" s="57"/>
      <c r="Q804" s="1"/>
      <c r="R804" s="1"/>
      <c r="S804" s="1"/>
    </row>
    <row r="805" spans="1:19" s="58" customFormat="1">
      <c r="A805" s="1"/>
      <c r="B805" s="56"/>
      <c r="C805" s="56"/>
      <c r="D805" s="57"/>
      <c r="Q805" s="1"/>
      <c r="R805" s="1"/>
      <c r="S805" s="1"/>
    </row>
    <row r="806" spans="1:19" s="58" customFormat="1">
      <c r="A806" s="1"/>
      <c r="B806" s="56"/>
      <c r="C806" s="56"/>
      <c r="D806" s="57"/>
      <c r="Q806" s="1"/>
      <c r="R806" s="1"/>
      <c r="S806" s="1"/>
    </row>
    <row r="807" spans="1:19" s="58" customFormat="1">
      <c r="A807" s="1"/>
      <c r="B807" s="56"/>
      <c r="C807" s="56"/>
      <c r="D807" s="57"/>
      <c r="Q807" s="1"/>
      <c r="R807" s="1"/>
      <c r="S807" s="1"/>
    </row>
    <row r="808" spans="1:19" s="58" customFormat="1">
      <c r="A808" s="1"/>
      <c r="B808" s="56"/>
      <c r="C808" s="56"/>
      <c r="D808" s="57"/>
      <c r="Q808" s="1"/>
      <c r="R808" s="1"/>
      <c r="S808" s="1"/>
    </row>
    <row r="809" spans="1:19" s="58" customFormat="1">
      <c r="A809" s="1"/>
      <c r="B809" s="56"/>
      <c r="C809" s="56"/>
      <c r="D809" s="57"/>
      <c r="Q809" s="1"/>
      <c r="R809" s="1"/>
      <c r="S809" s="1"/>
    </row>
    <row r="810" spans="1:19" s="58" customFormat="1">
      <c r="A810" s="1"/>
      <c r="B810" s="56"/>
      <c r="C810" s="56"/>
      <c r="D810" s="57"/>
      <c r="Q810" s="1"/>
      <c r="R810" s="1"/>
      <c r="S810" s="1"/>
    </row>
    <row r="811" spans="1:19" s="58" customFormat="1">
      <c r="A811" s="1"/>
      <c r="B811" s="56"/>
      <c r="C811" s="56"/>
      <c r="D811" s="57"/>
      <c r="Q811" s="1"/>
      <c r="R811" s="1"/>
      <c r="S811" s="1"/>
    </row>
    <row r="812" spans="1:19" s="58" customFormat="1">
      <c r="A812" s="1"/>
      <c r="B812" s="56"/>
      <c r="C812" s="56"/>
      <c r="D812" s="57"/>
      <c r="Q812" s="1"/>
      <c r="R812" s="1"/>
      <c r="S812" s="1"/>
    </row>
    <row r="813" spans="1:19" s="58" customFormat="1">
      <c r="A813" s="1"/>
      <c r="B813" s="56"/>
      <c r="C813" s="56"/>
      <c r="D813" s="57"/>
      <c r="Q813" s="1"/>
      <c r="R813" s="1"/>
      <c r="S813" s="1"/>
    </row>
    <row r="814" spans="1:19" s="58" customFormat="1">
      <c r="A814" s="1"/>
      <c r="B814" s="56"/>
      <c r="C814" s="56"/>
      <c r="D814" s="57"/>
      <c r="Q814" s="1"/>
      <c r="R814" s="1"/>
      <c r="S814" s="1"/>
    </row>
    <row r="815" spans="1:19" s="58" customFormat="1">
      <c r="A815" s="1"/>
      <c r="B815" s="56"/>
      <c r="C815" s="56"/>
      <c r="D815" s="57"/>
      <c r="Q815" s="1"/>
      <c r="R815" s="1"/>
      <c r="S815" s="1"/>
    </row>
    <row r="816" spans="1:19" s="58" customFormat="1">
      <c r="A816" s="1"/>
      <c r="B816" s="56"/>
      <c r="C816" s="56"/>
      <c r="D816" s="57"/>
      <c r="Q816" s="1"/>
      <c r="R816" s="1"/>
      <c r="S816" s="1"/>
    </row>
    <row r="817" spans="1:19" s="58" customFormat="1">
      <c r="A817" s="1"/>
      <c r="B817" s="56"/>
      <c r="C817" s="56"/>
      <c r="D817" s="57"/>
      <c r="Q817" s="1"/>
      <c r="R817" s="1"/>
      <c r="S817" s="1"/>
    </row>
    <row r="818" spans="1:19" s="58" customFormat="1">
      <c r="A818" s="1"/>
      <c r="B818" s="56"/>
      <c r="C818" s="56"/>
      <c r="D818" s="57"/>
      <c r="Q818" s="1"/>
      <c r="R818" s="1"/>
      <c r="S818" s="1"/>
    </row>
    <row r="819" spans="1:19" s="58" customFormat="1">
      <c r="A819" s="1"/>
      <c r="B819" s="56"/>
      <c r="C819" s="56"/>
      <c r="D819" s="57"/>
      <c r="Q819" s="1"/>
      <c r="R819" s="1"/>
      <c r="S819" s="1"/>
    </row>
    <row r="820" spans="1:19" s="58" customFormat="1">
      <c r="A820" s="1"/>
      <c r="B820" s="56"/>
      <c r="C820" s="56"/>
      <c r="D820" s="57"/>
      <c r="Q820" s="1"/>
      <c r="R820" s="1"/>
      <c r="S820" s="1"/>
    </row>
    <row r="821" spans="1:19" s="58" customFormat="1">
      <c r="A821" s="1"/>
      <c r="B821" s="56"/>
      <c r="C821" s="56"/>
      <c r="D821" s="57"/>
      <c r="Q821" s="1"/>
      <c r="R821" s="1"/>
      <c r="S821" s="1"/>
    </row>
    <row r="822" spans="1:19" s="58" customFormat="1">
      <c r="A822" s="1"/>
      <c r="B822" s="56"/>
      <c r="C822" s="56"/>
      <c r="D822" s="57"/>
      <c r="Q822" s="1"/>
      <c r="R822" s="1"/>
      <c r="S822" s="1"/>
    </row>
    <row r="823" spans="1:19" s="58" customFormat="1">
      <c r="A823" s="1"/>
      <c r="B823" s="56"/>
      <c r="C823" s="56"/>
      <c r="D823" s="57"/>
      <c r="Q823" s="1"/>
      <c r="R823" s="1"/>
      <c r="S823" s="1"/>
    </row>
    <row r="824" spans="1:19" s="58" customFormat="1">
      <c r="A824" s="1"/>
      <c r="B824" s="56"/>
      <c r="C824" s="56"/>
      <c r="D824" s="57"/>
      <c r="Q824" s="1"/>
      <c r="R824" s="1"/>
      <c r="S824" s="1"/>
    </row>
    <row r="825" spans="1:19" s="58" customFormat="1">
      <c r="A825" s="1"/>
      <c r="B825" s="56"/>
      <c r="C825" s="56"/>
      <c r="D825" s="57"/>
      <c r="Q825" s="1"/>
      <c r="R825" s="1"/>
      <c r="S825" s="1"/>
    </row>
    <row r="826" spans="1:19" s="58" customFormat="1">
      <c r="A826" s="1"/>
      <c r="B826" s="56"/>
      <c r="C826" s="56"/>
      <c r="D826" s="57"/>
      <c r="Q826" s="1"/>
      <c r="R826" s="1"/>
      <c r="S826" s="1"/>
    </row>
    <row r="827" spans="1:19" s="58" customFormat="1">
      <c r="A827" s="1"/>
      <c r="B827" s="56"/>
      <c r="C827" s="56"/>
      <c r="D827" s="57"/>
      <c r="Q827" s="1"/>
      <c r="R827" s="1"/>
      <c r="S827" s="1"/>
    </row>
    <row r="828" spans="1:19" s="58" customFormat="1">
      <c r="A828" s="1"/>
      <c r="B828" s="56"/>
      <c r="C828" s="56"/>
      <c r="D828" s="57"/>
      <c r="Q828" s="1"/>
      <c r="R828" s="1"/>
      <c r="S828" s="1"/>
    </row>
    <row r="829" spans="1:19" s="58" customFormat="1">
      <c r="A829" s="1"/>
      <c r="B829" s="56"/>
      <c r="C829" s="56"/>
      <c r="D829" s="57"/>
      <c r="Q829" s="1"/>
      <c r="R829" s="1"/>
      <c r="S829" s="1"/>
    </row>
    <row r="830" spans="1:19" s="58" customFormat="1">
      <c r="A830" s="1"/>
      <c r="B830" s="56"/>
      <c r="C830" s="56"/>
      <c r="D830" s="57"/>
      <c r="Q830" s="1"/>
      <c r="R830" s="1"/>
      <c r="S830" s="1"/>
    </row>
    <row r="831" spans="1:19" s="58" customFormat="1">
      <c r="A831" s="1"/>
      <c r="B831" s="56"/>
      <c r="C831" s="56"/>
      <c r="D831" s="57"/>
      <c r="Q831" s="1"/>
      <c r="R831" s="1"/>
      <c r="S831" s="1"/>
    </row>
    <row r="832" spans="1:19" s="58" customFormat="1">
      <c r="A832" s="1"/>
      <c r="B832" s="56"/>
      <c r="C832" s="56"/>
      <c r="D832" s="57"/>
      <c r="Q832" s="1"/>
      <c r="R832" s="1"/>
      <c r="S832" s="1"/>
    </row>
    <row r="833" spans="1:19" s="58" customFormat="1">
      <c r="A833" s="1"/>
      <c r="B833" s="56"/>
      <c r="C833" s="56"/>
      <c r="D833" s="57"/>
      <c r="Q833" s="1"/>
      <c r="R833" s="1"/>
      <c r="S833" s="1"/>
    </row>
    <row r="834" spans="1:19" s="58" customFormat="1">
      <c r="A834" s="1"/>
      <c r="B834" s="56"/>
      <c r="C834" s="56"/>
      <c r="D834" s="57"/>
      <c r="Q834" s="1"/>
      <c r="R834" s="1"/>
      <c r="S834" s="1"/>
    </row>
    <row r="835" spans="1:19" s="58" customFormat="1">
      <c r="A835" s="1"/>
      <c r="B835" s="56"/>
      <c r="C835" s="56"/>
      <c r="D835" s="57"/>
      <c r="Q835" s="1"/>
      <c r="R835" s="1"/>
      <c r="S835" s="1"/>
    </row>
    <row r="836" spans="1:19" s="58" customFormat="1">
      <c r="A836" s="1"/>
      <c r="B836" s="56"/>
      <c r="C836" s="56"/>
      <c r="D836" s="57"/>
      <c r="Q836" s="1"/>
      <c r="R836" s="1"/>
      <c r="S836" s="1"/>
    </row>
    <row r="837" spans="1:19" s="58" customFormat="1">
      <c r="A837" s="1"/>
      <c r="B837" s="56"/>
      <c r="C837" s="56"/>
      <c r="D837" s="57"/>
      <c r="Q837" s="1"/>
      <c r="R837" s="1"/>
      <c r="S837" s="1"/>
    </row>
    <row r="838" spans="1:19" s="58" customFormat="1">
      <c r="A838" s="1"/>
      <c r="B838" s="56"/>
      <c r="C838" s="56"/>
      <c r="D838" s="57"/>
      <c r="Q838" s="1"/>
      <c r="R838" s="1"/>
      <c r="S838" s="1"/>
    </row>
    <row r="839" spans="1:19" s="58" customFormat="1">
      <c r="A839" s="1"/>
      <c r="B839" s="56"/>
      <c r="C839" s="56"/>
      <c r="D839" s="57"/>
      <c r="Q839" s="1"/>
      <c r="R839" s="1"/>
      <c r="S839" s="1"/>
    </row>
    <row r="840" spans="1:19" s="58" customFormat="1">
      <c r="A840" s="1"/>
      <c r="B840" s="56"/>
      <c r="C840" s="56"/>
      <c r="D840" s="57"/>
      <c r="Q840" s="1"/>
      <c r="R840" s="1"/>
      <c r="S840" s="1"/>
    </row>
    <row r="841" spans="1:19" s="58" customFormat="1">
      <c r="A841" s="1"/>
      <c r="B841" s="56"/>
      <c r="C841" s="56"/>
      <c r="D841" s="57"/>
      <c r="Q841" s="1"/>
      <c r="R841" s="1"/>
      <c r="S841" s="1"/>
    </row>
    <row r="842" spans="1:19" s="58" customFormat="1">
      <c r="A842" s="1"/>
      <c r="B842" s="56"/>
      <c r="C842" s="56"/>
      <c r="D842" s="57"/>
      <c r="Q842" s="1"/>
      <c r="R842" s="1"/>
      <c r="S842" s="1"/>
    </row>
    <row r="843" spans="1:19" s="58" customFormat="1">
      <c r="A843" s="1"/>
      <c r="B843" s="56"/>
      <c r="C843" s="56"/>
      <c r="D843" s="57"/>
      <c r="Q843" s="1"/>
      <c r="R843" s="1"/>
      <c r="S843" s="1"/>
    </row>
    <row r="844" spans="1:19" s="58" customFormat="1">
      <c r="A844" s="1"/>
      <c r="B844" s="56"/>
      <c r="C844" s="56"/>
      <c r="D844" s="57"/>
      <c r="Q844" s="1"/>
      <c r="R844" s="1"/>
      <c r="S844" s="1"/>
    </row>
    <row r="845" spans="1:19" s="58" customFormat="1">
      <c r="A845" s="1"/>
      <c r="B845" s="56"/>
      <c r="C845" s="56"/>
      <c r="D845" s="57"/>
      <c r="Q845" s="1"/>
      <c r="R845" s="1"/>
      <c r="S845" s="1"/>
    </row>
    <row r="846" spans="1:19" s="58" customFormat="1">
      <c r="A846" s="1"/>
      <c r="B846" s="56"/>
      <c r="C846" s="56"/>
      <c r="D846" s="57"/>
      <c r="Q846" s="1"/>
      <c r="R846" s="1"/>
      <c r="S846" s="1"/>
    </row>
    <row r="847" spans="1:19" s="58" customFormat="1">
      <c r="A847" s="1"/>
      <c r="B847" s="56"/>
      <c r="C847" s="56"/>
      <c r="D847" s="57"/>
      <c r="Q847" s="1"/>
      <c r="R847" s="1"/>
      <c r="S847" s="1"/>
    </row>
    <row r="848" spans="1:19" s="58" customFormat="1">
      <c r="A848" s="1"/>
      <c r="B848" s="56"/>
      <c r="C848" s="56"/>
      <c r="D848" s="57"/>
      <c r="Q848" s="1"/>
      <c r="R848" s="1"/>
      <c r="S848" s="1"/>
    </row>
    <row r="849" spans="1:19" s="58" customFormat="1">
      <c r="A849" s="1"/>
      <c r="B849" s="56"/>
      <c r="C849" s="56"/>
      <c r="D849" s="57"/>
      <c r="Q849" s="1"/>
      <c r="R849" s="1"/>
      <c r="S849" s="1"/>
    </row>
    <row r="850" spans="1:19" s="58" customFormat="1">
      <c r="A850" s="1"/>
      <c r="B850" s="56"/>
      <c r="C850" s="56"/>
      <c r="D850" s="57"/>
      <c r="Q850" s="1"/>
      <c r="R850" s="1"/>
      <c r="S850" s="1"/>
    </row>
    <row r="851" spans="1:19" s="58" customFormat="1">
      <c r="A851" s="1"/>
      <c r="B851" s="56"/>
      <c r="C851" s="56"/>
      <c r="D851" s="57"/>
      <c r="Q851" s="1"/>
      <c r="R851" s="1"/>
      <c r="S851" s="1"/>
    </row>
    <row r="852" spans="1:19" s="58" customFormat="1">
      <c r="A852" s="1"/>
      <c r="B852" s="56"/>
      <c r="C852" s="56"/>
      <c r="D852" s="57"/>
      <c r="Q852" s="1"/>
      <c r="R852" s="1"/>
      <c r="S852" s="1"/>
    </row>
    <row r="853" spans="1:19" s="58" customFormat="1">
      <c r="A853" s="1"/>
      <c r="B853" s="56"/>
      <c r="C853" s="56"/>
      <c r="D853" s="57"/>
      <c r="Q853" s="1"/>
      <c r="R853" s="1"/>
      <c r="S853" s="1"/>
    </row>
    <row r="854" spans="1:19" s="58" customFormat="1">
      <c r="A854" s="1"/>
      <c r="B854" s="56"/>
      <c r="C854" s="56"/>
      <c r="D854" s="57"/>
      <c r="Q854" s="1"/>
      <c r="R854" s="1"/>
      <c r="S854" s="1"/>
    </row>
    <row r="855" spans="1:19" s="58" customFormat="1">
      <c r="A855" s="1"/>
      <c r="B855" s="56"/>
      <c r="C855" s="56"/>
      <c r="D855" s="57"/>
      <c r="Q855" s="1"/>
      <c r="R855" s="1"/>
      <c r="S855" s="1"/>
    </row>
    <row r="856" spans="1:19" s="58" customFormat="1">
      <c r="A856" s="1"/>
      <c r="B856" s="56"/>
      <c r="C856" s="56"/>
      <c r="D856" s="57"/>
      <c r="Q856" s="1"/>
      <c r="R856" s="1"/>
      <c r="S856" s="1"/>
    </row>
    <row r="857" spans="1:19" s="58" customFormat="1">
      <c r="A857" s="1"/>
      <c r="B857" s="56"/>
      <c r="C857" s="56"/>
      <c r="D857" s="57"/>
      <c r="Q857" s="1"/>
      <c r="R857" s="1"/>
      <c r="S857" s="1"/>
    </row>
    <row r="858" spans="1:19" s="58" customFormat="1">
      <c r="A858" s="1"/>
      <c r="B858" s="56"/>
      <c r="C858" s="56"/>
      <c r="D858" s="57"/>
      <c r="Q858" s="1"/>
      <c r="R858" s="1"/>
      <c r="S858" s="1"/>
    </row>
    <row r="859" spans="1:19" s="58" customFormat="1">
      <c r="A859" s="1"/>
      <c r="B859" s="56"/>
      <c r="C859" s="56"/>
      <c r="D859" s="57"/>
      <c r="Q859" s="1"/>
      <c r="R859" s="1"/>
      <c r="S859" s="1"/>
    </row>
    <row r="860" spans="1:19" s="58" customFormat="1">
      <c r="A860" s="1"/>
      <c r="B860" s="56"/>
      <c r="C860" s="56"/>
      <c r="D860" s="57"/>
      <c r="Q860" s="1"/>
      <c r="R860" s="1"/>
      <c r="S860" s="1"/>
    </row>
    <row r="861" spans="1:19" s="58" customFormat="1">
      <c r="A861" s="1"/>
      <c r="B861" s="56"/>
      <c r="C861" s="56"/>
      <c r="D861" s="57"/>
      <c r="Q861" s="1"/>
      <c r="R861" s="1"/>
      <c r="S861" s="1"/>
    </row>
    <row r="862" spans="1:19" s="58" customFormat="1">
      <c r="A862" s="1"/>
      <c r="B862" s="56"/>
      <c r="C862" s="56"/>
      <c r="D862" s="57"/>
      <c r="Q862" s="1"/>
      <c r="R862" s="1"/>
      <c r="S862" s="1"/>
    </row>
    <row r="863" spans="1:19" s="58" customFormat="1">
      <c r="A863" s="1"/>
      <c r="B863" s="56"/>
      <c r="C863" s="56"/>
      <c r="D863" s="57"/>
      <c r="Q863" s="1"/>
      <c r="R863" s="1"/>
      <c r="S863" s="1"/>
    </row>
    <row r="864" spans="1:19" s="58" customFormat="1">
      <c r="A864" s="1"/>
      <c r="B864" s="56"/>
      <c r="C864" s="56"/>
      <c r="D864" s="57"/>
      <c r="Q864" s="1"/>
      <c r="R864" s="1"/>
      <c r="S864" s="1"/>
    </row>
    <row r="865" spans="1:19" s="58" customFormat="1">
      <c r="A865" s="1"/>
      <c r="B865" s="56"/>
      <c r="C865" s="56"/>
      <c r="D865" s="57"/>
      <c r="Q865" s="1"/>
      <c r="R865" s="1"/>
      <c r="S865" s="1"/>
    </row>
    <row r="866" spans="1:19" s="58" customFormat="1">
      <c r="A866" s="1"/>
      <c r="B866" s="56"/>
      <c r="C866" s="56"/>
      <c r="D866" s="57"/>
      <c r="Q866" s="1"/>
      <c r="R866" s="1"/>
      <c r="S866" s="1"/>
    </row>
    <row r="867" spans="1:19" s="58" customFormat="1">
      <c r="A867" s="1"/>
      <c r="B867" s="56"/>
      <c r="C867" s="56"/>
      <c r="D867" s="57"/>
      <c r="Q867" s="1"/>
      <c r="R867" s="1"/>
      <c r="S867" s="1"/>
    </row>
    <row r="868" spans="1:19" s="58" customFormat="1">
      <c r="A868" s="1"/>
      <c r="B868" s="56"/>
      <c r="C868" s="56"/>
      <c r="D868" s="57"/>
      <c r="Q868" s="1"/>
      <c r="R868" s="1"/>
      <c r="S868" s="1"/>
    </row>
    <row r="869" spans="1:19" s="58" customFormat="1">
      <c r="A869" s="1"/>
      <c r="B869" s="56"/>
      <c r="C869" s="56"/>
      <c r="D869" s="57"/>
      <c r="Q869" s="1"/>
      <c r="R869" s="1"/>
      <c r="S869" s="1"/>
    </row>
    <row r="870" spans="1:19" s="58" customFormat="1">
      <c r="A870" s="1"/>
      <c r="B870" s="56"/>
      <c r="C870" s="56"/>
      <c r="D870" s="57"/>
      <c r="Q870" s="1"/>
      <c r="R870" s="1"/>
      <c r="S870" s="1"/>
    </row>
    <row r="871" spans="1:19" s="58" customFormat="1">
      <c r="A871" s="1"/>
      <c r="B871" s="56"/>
      <c r="C871" s="56"/>
      <c r="D871" s="57"/>
      <c r="Q871" s="1"/>
      <c r="R871" s="1"/>
      <c r="S871" s="1"/>
    </row>
    <row r="872" spans="1:19" s="58" customFormat="1">
      <c r="A872" s="1"/>
      <c r="B872" s="56"/>
      <c r="C872" s="56"/>
      <c r="D872" s="57"/>
      <c r="Q872" s="1"/>
      <c r="R872" s="1"/>
      <c r="S872" s="1"/>
    </row>
    <row r="873" spans="1:19" s="58" customFormat="1">
      <c r="A873" s="1"/>
      <c r="B873" s="56"/>
      <c r="C873" s="56"/>
      <c r="D873" s="57"/>
      <c r="Q873" s="1"/>
      <c r="R873" s="1"/>
      <c r="S873" s="1"/>
    </row>
    <row r="874" spans="1:19" s="58" customFormat="1">
      <c r="A874" s="1"/>
      <c r="B874" s="56"/>
      <c r="C874" s="56"/>
      <c r="D874" s="57"/>
      <c r="Q874" s="1"/>
      <c r="R874" s="1"/>
      <c r="S874" s="1"/>
    </row>
    <row r="875" spans="1:19" s="58" customFormat="1">
      <c r="A875" s="1"/>
      <c r="B875" s="56"/>
      <c r="C875" s="56"/>
      <c r="D875" s="57"/>
      <c r="Q875" s="1"/>
      <c r="R875" s="1"/>
      <c r="S875" s="1"/>
    </row>
    <row r="876" spans="1:19" s="58" customFormat="1">
      <c r="A876" s="1"/>
      <c r="B876" s="56"/>
      <c r="C876" s="56"/>
      <c r="D876" s="57"/>
      <c r="Q876" s="1"/>
      <c r="R876" s="1"/>
      <c r="S876" s="1"/>
    </row>
    <row r="877" spans="1:19" s="58" customFormat="1">
      <c r="A877" s="1"/>
      <c r="B877" s="56"/>
      <c r="C877" s="56"/>
      <c r="D877" s="57"/>
      <c r="Q877" s="1"/>
      <c r="R877" s="1"/>
      <c r="S877" s="1"/>
    </row>
    <row r="878" spans="1:19" s="58" customFormat="1">
      <c r="A878" s="1"/>
      <c r="B878" s="56"/>
      <c r="C878" s="56"/>
      <c r="D878" s="57"/>
      <c r="Q878" s="1"/>
      <c r="R878" s="1"/>
      <c r="S878" s="1"/>
    </row>
    <row r="879" spans="1:19" s="58" customFormat="1">
      <c r="A879" s="1"/>
      <c r="B879" s="56"/>
      <c r="C879" s="56"/>
      <c r="D879" s="57"/>
      <c r="Q879" s="1"/>
      <c r="R879" s="1"/>
      <c r="S879" s="1"/>
    </row>
    <row r="880" spans="1:19" s="58" customFormat="1">
      <c r="A880" s="1"/>
      <c r="B880" s="56"/>
      <c r="C880" s="56"/>
      <c r="D880" s="57"/>
      <c r="Q880" s="1"/>
      <c r="R880" s="1"/>
      <c r="S880" s="1"/>
    </row>
    <row r="881" spans="1:19" s="58" customFormat="1">
      <c r="A881" s="1"/>
      <c r="B881" s="56"/>
      <c r="C881" s="56"/>
      <c r="D881" s="57"/>
      <c r="Q881" s="1"/>
      <c r="R881" s="1"/>
      <c r="S881" s="1"/>
    </row>
    <row r="882" spans="1:19" s="58" customFormat="1">
      <c r="A882" s="1"/>
      <c r="B882" s="56"/>
      <c r="C882" s="56"/>
      <c r="D882" s="57"/>
      <c r="Q882" s="1"/>
      <c r="R882" s="1"/>
      <c r="S882" s="1"/>
    </row>
    <row r="883" spans="1:19" s="58" customFormat="1">
      <c r="A883" s="1"/>
      <c r="B883" s="56"/>
      <c r="C883" s="56"/>
      <c r="D883" s="57"/>
      <c r="Q883" s="1"/>
      <c r="R883" s="1"/>
      <c r="S883" s="1"/>
    </row>
    <row r="884" spans="1:19" s="58" customFormat="1">
      <c r="A884" s="1"/>
      <c r="B884" s="56"/>
      <c r="C884" s="56"/>
      <c r="D884" s="57"/>
      <c r="Q884" s="1"/>
      <c r="R884" s="1"/>
      <c r="S884" s="1"/>
    </row>
    <row r="885" spans="1:19" s="58" customFormat="1">
      <c r="A885" s="1"/>
      <c r="B885" s="56"/>
      <c r="C885" s="56"/>
      <c r="D885" s="57"/>
      <c r="Q885" s="1"/>
      <c r="R885" s="1"/>
      <c r="S885" s="1"/>
    </row>
    <row r="886" spans="1:19" s="58" customFormat="1">
      <c r="A886" s="1"/>
      <c r="B886" s="56"/>
      <c r="C886" s="56"/>
      <c r="D886" s="57"/>
      <c r="Q886" s="1"/>
      <c r="R886" s="1"/>
      <c r="S886" s="1"/>
    </row>
    <row r="887" spans="1:19" s="58" customFormat="1">
      <c r="A887" s="1"/>
      <c r="B887" s="56"/>
      <c r="C887" s="56"/>
      <c r="D887" s="57"/>
      <c r="Q887" s="1"/>
      <c r="R887" s="1"/>
      <c r="S887" s="1"/>
    </row>
    <row r="888" spans="1:19" s="58" customFormat="1">
      <c r="A888" s="1"/>
      <c r="B888" s="56"/>
      <c r="C888" s="56"/>
      <c r="D888" s="57"/>
      <c r="Q888" s="1"/>
      <c r="R888" s="1"/>
      <c r="S888" s="1"/>
    </row>
    <row r="889" spans="1:19" s="58" customFormat="1">
      <c r="A889" s="1"/>
      <c r="B889" s="56"/>
      <c r="C889" s="56"/>
      <c r="D889" s="57"/>
      <c r="Q889" s="1"/>
      <c r="R889" s="1"/>
      <c r="S889" s="1"/>
    </row>
    <row r="890" spans="1:19" s="58" customFormat="1">
      <c r="A890" s="1"/>
      <c r="B890" s="56"/>
      <c r="C890" s="56"/>
      <c r="D890" s="57"/>
      <c r="Q890" s="1"/>
      <c r="R890" s="1"/>
      <c r="S890" s="1"/>
    </row>
    <row r="891" spans="1:19" s="58" customFormat="1">
      <c r="A891" s="1"/>
      <c r="B891" s="56"/>
      <c r="C891" s="56"/>
      <c r="D891" s="57"/>
      <c r="Q891" s="1"/>
      <c r="R891" s="1"/>
      <c r="S891" s="1"/>
    </row>
    <row r="892" spans="1:19" s="58" customFormat="1">
      <c r="A892" s="1"/>
      <c r="B892" s="56"/>
      <c r="C892" s="56"/>
      <c r="D892" s="57"/>
      <c r="Q892" s="1"/>
      <c r="R892" s="1"/>
      <c r="S892" s="1"/>
    </row>
    <row r="893" spans="1:19" s="58" customFormat="1">
      <c r="A893" s="1"/>
      <c r="B893" s="56"/>
      <c r="C893" s="56"/>
      <c r="D893" s="57"/>
      <c r="Q893" s="1"/>
      <c r="R893" s="1"/>
      <c r="S893" s="1"/>
    </row>
    <row r="894" spans="1:19" s="58" customFormat="1">
      <c r="A894" s="1"/>
      <c r="B894" s="56"/>
      <c r="C894" s="56"/>
      <c r="D894" s="57"/>
      <c r="Q894" s="1"/>
      <c r="R894" s="1"/>
      <c r="S894" s="1"/>
    </row>
    <row r="895" spans="1:19" s="58" customFormat="1">
      <c r="A895" s="1"/>
      <c r="B895" s="56"/>
      <c r="C895" s="56"/>
      <c r="D895" s="57"/>
      <c r="Q895" s="1"/>
      <c r="R895" s="1"/>
      <c r="S895" s="1"/>
    </row>
    <row r="896" spans="1:19" s="58" customFormat="1">
      <c r="A896" s="1"/>
      <c r="B896" s="56"/>
      <c r="C896" s="56"/>
      <c r="D896" s="57"/>
      <c r="Q896" s="1"/>
      <c r="R896" s="1"/>
      <c r="S896" s="1"/>
    </row>
    <row r="897" spans="1:19" s="58" customFormat="1">
      <c r="A897" s="1"/>
      <c r="B897" s="56"/>
      <c r="C897" s="56"/>
      <c r="D897" s="57"/>
      <c r="Q897" s="1"/>
      <c r="R897" s="1"/>
      <c r="S897" s="1"/>
    </row>
    <row r="898" spans="1:19" s="58" customFormat="1">
      <c r="A898" s="1"/>
      <c r="B898" s="56"/>
      <c r="C898" s="56"/>
      <c r="D898" s="57"/>
      <c r="Q898" s="1"/>
      <c r="R898" s="1"/>
      <c r="S898" s="1"/>
    </row>
    <row r="899" spans="1:19" s="58" customFormat="1">
      <c r="A899" s="1"/>
      <c r="B899" s="56"/>
      <c r="C899" s="56"/>
      <c r="D899" s="57"/>
      <c r="Q899" s="1"/>
      <c r="R899" s="1"/>
      <c r="S899" s="1"/>
    </row>
    <row r="900" spans="1:19" s="58" customFormat="1">
      <c r="A900" s="1"/>
      <c r="B900" s="56"/>
      <c r="C900" s="56"/>
      <c r="D900" s="57"/>
      <c r="Q900" s="1"/>
      <c r="R900" s="1"/>
      <c r="S900" s="1"/>
    </row>
    <row r="901" spans="1:19" s="58" customFormat="1">
      <c r="A901" s="1"/>
      <c r="B901" s="56"/>
      <c r="C901" s="56"/>
      <c r="D901" s="57"/>
      <c r="Q901" s="1"/>
      <c r="R901" s="1"/>
      <c r="S901" s="1"/>
    </row>
    <row r="902" spans="1:19" s="58" customFormat="1">
      <c r="A902" s="1"/>
      <c r="B902" s="56"/>
      <c r="C902" s="56"/>
      <c r="D902" s="57"/>
      <c r="Q902" s="1"/>
      <c r="R902" s="1"/>
      <c r="S902" s="1"/>
    </row>
    <row r="903" spans="1:19" s="58" customFormat="1">
      <c r="A903" s="1"/>
      <c r="B903" s="56"/>
      <c r="C903" s="56"/>
      <c r="D903" s="57"/>
      <c r="Q903" s="1"/>
      <c r="R903" s="1"/>
      <c r="S903" s="1"/>
    </row>
    <row r="904" spans="1:19" s="58" customFormat="1">
      <c r="A904" s="1"/>
      <c r="B904" s="56"/>
      <c r="C904" s="56"/>
      <c r="D904" s="57"/>
      <c r="Q904" s="1"/>
      <c r="R904" s="1"/>
      <c r="S904" s="1"/>
    </row>
    <row r="905" spans="1:19" s="58" customFormat="1">
      <c r="A905" s="1"/>
      <c r="B905" s="56"/>
      <c r="C905" s="56"/>
      <c r="D905" s="57"/>
      <c r="Q905" s="1"/>
      <c r="R905" s="1"/>
      <c r="S905" s="1"/>
    </row>
    <row r="906" spans="1:19" s="58" customFormat="1">
      <c r="A906" s="1"/>
      <c r="B906" s="56"/>
      <c r="C906" s="56"/>
      <c r="D906" s="57"/>
      <c r="Q906" s="1"/>
      <c r="R906" s="1"/>
      <c r="S906" s="1"/>
    </row>
    <row r="907" spans="1:19" s="58" customFormat="1">
      <c r="A907" s="1"/>
      <c r="B907" s="56"/>
      <c r="C907" s="56"/>
      <c r="D907" s="57"/>
      <c r="Q907" s="1"/>
      <c r="R907" s="1"/>
      <c r="S907" s="1"/>
    </row>
    <row r="908" spans="1:19" s="58" customFormat="1">
      <c r="A908" s="1"/>
      <c r="B908" s="56"/>
      <c r="C908" s="56"/>
      <c r="D908" s="57"/>
      <c r="Q908" s="1"/>
      <c r="R908" s="1"/>
      <c r="S908" s="1"/>
    </row>
    <row r="909" spans="1:19" s="58" customFormat="1">
      <c r="A909" s="1"/>
      <c r="B909" s="56"/>
      <c r="C909" s="56"/>
      <c r="D909" s="57"/>
      <c r="Q909" s="1"/>
      <c r="R909" s="1"/>
      <c r="S909" s="1"/>
    </row>
    <row r="910" spans="1:19" s="58" customFormat="1">
      <c r="A910" s="1"/>
      <c r="B910" s="56"/>
      <c r="C910" s="56"/>
      <c r="D910" s="57"/>
      <c r="Q910" s="1"/>
      <c r="R910" s="1"/>
      <c r="S910" s="1"/>
    </row>
    <row r="911" spans="1:19" s="58" customFormat="1">
      <c r="A911" s="1"/>
      <c r="B911" s="56"/>
      <c r="C911" s="56"/>
      <c r="D911" s="57"/>
      <c r="Q911" s="1"/>
      <c r="R911" s="1"/>
      <c r="S911" s="1"/>
    </row>
    <row r="912" spans="1:19" s="58" customFormat="1">
      <c r="A912" s="1"/>
      <c r="B912" s="56"/>
      <c r="C912" s="56"/>
      <c r="D912" s="57"/>
      <c r="Q912" s="1"/>
      <c r="R912" s="1"/>
      <c r="S912" s="1"/>
    </row>
    <row r="913" spans="1:19" s="58" customFormat="1">
      <c r="A913" s="1"/>
      <c r="B913" s="56"/>
      <c r="C913" s="56"/>
      <c r="D913" s="57"/>
      <c r="Q913" s="1"/>
      <c r="R913" s="1"/>
      <c r="S913" s="1"/>
    </row>
    <row r="914" spans="1:19" s="58" customFormat="1">
      <c r="A914" s="1"/>
      <c r="B914" s="56"/>
      <c r="C914" s="56"/>
      <c r="D914" s="57"/>
      <c r="Q914" s="1"/>
      <c r="R914" s="1"/>
      <c r="S914" s="1"/>
    </row>
    <row r="915" spans="1:19" s="58" customFormat="1">
      <c r="A915" s="1"/>
      <c r="B915" s="56"/>
      <c r="C915" s="56"/>
      <c r="D915" s="57"/>
      <c r="Q915" s="1"/>
      <c r="R915" s="1"/>
      <c r="S915" s="1"/>
    </row>
    <row r="916" spans="1:19" s="58" customFormat="1">
      <c r="A916" s="1"/>
      <c r="B916" s="56"/>
      <c r="C916" s="56"/>
      <c r="D916" s="57"/>
      <c r="Q916" s="1"/>
      <c r="R916" s="1"/>
      <c r="S916" s="1"/>
    </row>
    <row r="917" spans="1:19" s="58" customFormat="1">
      <c r="A917" s="1"/>
      <c r="B917" s="56"/>
      <c r="C917" s="56"/>
      <c r="D917" s="57"/>
      <c r="Q917" s="1"/>
      <c r="R917" s="1"/>
      <c r="S917" s="1"/>
    </row>
    <row r="918" spans="1:19" s="58" customFormat="1">
      <c r="A918" s="1"/>
      <c r="B918" s="56"/>
      <c r="C918" s="56"/>
      <c r="D918" s="57"/>
      <c r="Q918" s="1"/>
      <c r="R918" s="1"/>
      <c r="S918" s="1"/>
    </row>
    <row r="919" spans="1:19" s="58" customFormat="1">
      <c r="A919" s="1"/>
      <c r="B919" s="56"/>
      <c r="C919" s="56"/>
      <c r="D919" s="57"/>
      <c r="Q919" s="1"/>
      <c r="R919" s="1"/>
      <c r="S919" s="1"/>
    </row>
    <row r="920" spans="1:19" s="58" customFormat="1">
      <c r="A920" s="1"/>
      <c r="B920" s="56"/>
      <c r="C920" s="56"/>
      <c r="D920" s="57"/>
      <c r="Q920" s="1"/>
      <c r="R920" s="1"/>
      <c r="S920" s="1"/>
    </row>
    <row r="921" spans="1:19" s="58" customFormat="1">
      <c r="A921" s="1"/>
      <c r="B921" s="56"/>
      <c r="C921" s="56"/>
      <c r="D921" s="57"/>
      <c r="Q921" s="1"/>
      <c r="R921" s="1"/>
      <c r="S921" s="1"/>
    </row>
    <row r="922" spans="1:19" s="58" customFormat="1">
      <c r="A922" s="1"/>
      <c r="B922" s="56"/>
      <c r="C922" s="56"/>
      <c r="D922" s="57"/>
      <c r="Q922" s="1"/>
      <c r="R922" s="1"/>
      <c r="S922" s="1"/>
    </row>
    <row r="923" spans="1:19" s="58" customFormat="1">
      <c r="A923" s="1"/>
      <c r="B923" s="56"/>
      <c r="C923" s="56"/>
      <c r="D923" s="57"/>
      <c r="Q923" s="1"/>
      <c r="R923" s="1"/>
      <c r="S923" s="1"/>
    </row>
    <row r="924" spans="1:19" s="58" customFormat="1">
      <c r="A924" s="1"/>
      <c r="B924" s="56"/>
      <c r="C924" s="56"/>
      <c r="D924" s="57"/>
      <c r="Q924" s="1"/>
      <c r="R924" s="1"/>
      <c r="S924" s="1"/>
    </row>
    <row r="925" spans="1:19" s="58" customFormat="1">
      <c r="A925" s="1"/>
      <c r="B925" s="56"/>
      <c r="C925" s="56"/>
      <c r="D925" s="57"/>
      <c r="Q925" s="1"/>
      <c r="R925" s="1"/>
      <c r="S925" s="1"/>
    </row>
    <row r="926" spans="1:19" s="58" customFormat="1">
      <c r="A926" s="1"/>
      <c r="B926" s="56"/>
      <c r="C926" s="56"/>
      <c r="D926" s="57"/>
      <c r="Q926" s="1"/>
      <c r="R926" s="1"/>
      <c r="S926" s="1"/>
    </row>
    <row r="927" spans="1:19" s="58" customFormat="1">
      <c r="A927" s="1"/>
      <c r="B927" s="56"/>
      <c r="C927" s="56"/>
      <c r="D927" s="57"/>
      <c r="Q927" s="1"/>
      <c r="R927" s="1"/>
      <c r="S927" s="1"/>
    </row>
    <row r="928" spans="1:19" s="58" customFormat="1">
      <c r="A928" s="1"/>
      <c r="B928" s="56"/>
      <c r="C928" s="56"/>
      <c r="D928" s="57"/>
      <c r="Q928" s="1"/>
      <c r="R928" s="1"/>
      <c r="S928" s="1"/>
    </row>
    <row r="929" spans="1:19" s="58" customFormat="1">
      <c r="A929" s="1"/>
      <c r="B929" s="56"/>
      <c r="C929" s="56"/>
      <c r="D929" s="57"/>
      <c r="Q929" s="1"/>
      <c r="R929" s="1"/>
      <c r="S929" s="1"/>
    </row>
    <row r="930" spans="1:19" s="58" customFormat="1">
      <c r="A930" s="1"/>
      <c r="B930" s="56"/>
      <c r="C930" s="56"/>
      <c r="D930" s="57"/>
      <c r="Q930" s="1"/>
      <c r="R930" s="1"/>
      <c r="S930" s="1"/>
    </row>
    <row r="931" spans="1:19" s="58" customFormat="1">
      <c r="A931" s="1"/>
      <c r="B931" s="56"/>
      <c r="C931" s="56"/>
      <c r="D931" s="57"/>
      <c r="Q931" s="1"/>
      <c r="R931" s="1"/>
      <c r="S931" s="1"/>
    </row>
    <row r="932" spans="1:19" s="58" customFormat="1">
      <c r="A932" s="1"/>
      <c r="B932" s="56"/>
      <c r="C932" s="56"/>
      <c r="D932" s="57"/>
      <c r="Q932" s="1"/>
      <c r="R932" s="1"/>
      <c r="S932" s="1"/>
    </row>
    <row r="933" spans="1:19" s="58" customFormat="1">
      <c r="A933" s="1"/>
      <c r="B933" s="56"/>
      <c r="C933" s="56"/>
      <c r="D933" s="57"/>
      <c r="Q933" s="1"/>
      <c r="R933" s="1"/>
      <c r="S933" s="1"/>
    </row>
    <row r="934" spans="1:19" s="58" customFormat="1">
      <c r="A934" s="1"/>
      <c r="B934" s="56"/>
      <c r="C934" s="56"/>
      <c r="D934" s="57"/>
      <c r="Q934" s="1"/>
      <c r="R934" s="1"/>
      <c r="S934" s="1"/>
    </row>
    <row r="935" spans="1:19" s="58" customFormat="1">
      <c r="A935" s="1"/>
      <c r="B935" s="56"/>
      <c r="C935" s="56"/>
      <c r="D935" s="57"/>
      <c r="Q935" s="1"/>
      <c r="R935" s="1"/>
      <c r="S935" s="1"/>
    </row>
    <row r="936" spans="1:19" s="58" customFormat="1">
      <c r="A936" s="1"/>
      <c r="B936" s="56"/>
      <c r="C936" s="56"/>
      <c r="D936" s="57"/>
      <c r="Q936" s="1"/>
      <c r="R936" s="1"/>
      <c r="S936" s="1"/>
    </row>
    <row r="937" spans="1:19" s="58" customFormat="1">
      <c r="A937" s="1"/>
      <c r="B937" s="56"/>
      <c r="C937" s="56"/>
      <c r="D937" s="57"/>
      <c r="Q937" s="1"/>
      <c r="R937" s="1"/>
      <c r="S937" s="1"/>
    </row>
    <row r="938" spans="1:19" s="58" customFormat="1">
      <c r="A938" s="1"/>
      <c r="B938" s="56"/>
      <c r="C938" s="56"/>
      <c r="D938" s="57"/>
      <c r="Q938" s="1"/>
      <c r="R938" s="1"/>
      <c r="S938" s="1"/>
    </row>
    <row r="939" spans="1:19" s="58" customFormat="1">
      <c r="A939" s="1"/>
      <c r="B939" s="56"/>
      <c r="C939" s="56"/>
      <c r="D939" s="57"/>
      <c r="Q939" s="1"/>
      <c r="R939" s="1"/>
      <c r="S939" s="1"/>
    </row>
    <row r="940" spans="1:19" s="58" customFormat="1">
      <c r="A940" s="1"/>
      <c r="B940" s="56"/>
      <c r="C940" s="56"/>
      <c r="D940" s="57"/>
      <c r="Q940" s="1"/>
      <c r="R940" s="1"/>
      <c r="S940" s="1"/>
    </row>
    <row r="941" spans="1:19" s="58" customFormat="1">
      <c r="A941" s="1"/>
      <c r="B941" s="56"/>
      <c r="C941" s="56"/>
      <c r="D941" s="57"/>
      <c r="Q941" s="1"/>
      <c r="R941" s="1"/>
      <c r="S941" s="1"/>
    </row>
    <row r="942" spans="1:19" s="58" customFormat="1">
      <c r="A942" s="1"/>
      <c r="B942" s="56"/>
      <c r="C942" s="56"/>
      <c r="D942" s="57"/>
      <c r="Q942" s="1"/>
      <c r="R942" s="1"/>
      <c r="S942" s="1"/>
    </row>
    <row r="943" spans="1:19" s="58" customFormat="1">
      <c r="A943" s="1"/>
      <c r="B943" s="56"/>
      <c r="C943" s="56"/>
      <c r="D943" s="57"/>
      <c r="Q943" s="1"/>
      <c r="R943" s="1"/>
      <c r="S943" s="1"/>
    </row>
    <row r="944" spans="1:19" s="58" customFormat="1">
      <c r="A944" s="1"/>
      <c r="B944" s="56"/>
      <c r="C944" s="56"/>
      <c r="D944" s="57"/>
      <c r="Q944" s="1"/>
      <c r="R944" s="1"/>
      <c r="S944" s="1"/>
    </row>
    <row r="945" spans="1:19" s="58" customFormat="1">
      <c r="A945" s="1"/>
      <c r="B945" s="56"/>
      <c r="C945" s="56"/>
      <c r="D945" s="57"/>
      <c r="Q945" s="1"/>
      <c r="R945" s="1"/>
      <c r="S945" s="1"/>
    </row>
    <row r="946" spans="1:19" s="58" customFormat="1">
      <c r="A946" s="1"/>
      <c r="B946" s="56"/>
      <c r="C946" s="56"/>
      <c r="D946" s="57"/>
      <c r="Q946" s="1"/>
      <c r="R946" s="1"/>
      <c r="S946" s="1"/>
    </row>
    <row r="947" spans="1:19" s="58" customFormat="1">
      <c r="A947" s="1"/>
      <c r="B947" s="56"/>
      <c r="C947" s="56"/>
      <c r="D947" s="57"/>
      <c r="Q947" s="1"/>
      <c r="R947" s="1"/>
      <c r="S947" s="1"/>
    </row>
    <row r="948" spans="1:19" s="58" customFormat="1">
      <c r="A948" s="1"/>
      <c r="B948" s="56"/>
      <c r="C948" s="56"/>
      <c r="D948" s="57"/>
      <c r="Q948" s="1"/>
      <c r="R948" s="1"/>
      <c r="S948" s="1"/>
    </row>
    <row r="949" spans="1:19" s="58" customFormat="1">
      <c r="A949" s="1"/>
      <c r="B949" s="56"/>
      <c r="C949" s="56"/>
      <c r="D949" s="57"/>
      <c r="Q949" s="1"/>
      <c r="R949" s="1"/>
      <c r="S949" s="1"/>
    </row>
    <row r="950" spans="1:19" s="58" customFormat="1">
      <c r="A950" s="1"/>
      <c r="B950" s="56"/>
      <c r="C950" s="56"/>
      <c r="D950" s="57"/>
      <c r="Q950" s="1"/>
      <c r="R950" s="1"/>
      <c r="S950" s="1"/>
    </row>
    <row r="951" spans="1:19" s="58" customFormat="1">
      <c r="A951" s="1"/>
      <c r="B951" s="56"/>
      <c r="C951" s="56"/>
      <c r="D951" s="57"/>
      <c r="Q951" s="1"/>
      <c r="R951" s="1"/>
      <c r="S951" s="1"/>
    </row>
    <row r="952" spans="1:19" s="58" customFormat="1">
      <c r="A952" s="1"/>
      <c r="B952" s="56"/>
      <c r="C952" s="56"/>
      <c r="D952" s="57"/>
      <c r="Q952" s="1"/>
      <c r="R952" s="1"/>
      <c r="S952" s="1"/>
    </row>
    <row r="953" spans="1:19" s="58" customFormat="1">
      <c r="A953" s="1"/>
      <c r="B953" s="56"/>
      <c r="C953" s="56"/>
      <c r="D953" s="57"/>
      <c r="Q953" s="1"/>
      <c r="R953" s="1"/>
      <c r="S953" s="1"/>
    </row>
    <row r="954" spans="1:19" s="58" customFormat="1">
      <c r="A954" s="1"/>
      <c r="B954" s="56"/>
      <c r="C954" s="56"/>
      <c r="D954" s="57"/>
      <c r="Q954" s="1"/>
      <c r="R954" s="1"/>
      <c r="S954" s="1"/>
    </row>
    <row r="955" spans="1:19" s="58" customFormat="1">
      <c r="A955" s="1"/>
      <c r="B955" s="56"/>
      <c r="C955" s="56"/>
      <c r="D955" s="57"/>
      <c r="Q955" s="1"/>
      <c r="R955" s="1"/>
      <c r="S955" s="1"/>
    </row>
    <row r="956" spans="1:19" s="58" customFormat="1">
      <c r="A956" s="1"/>
      <c r="B956" s="56"/>
      <c r="C956" s="56"/>
      <c r="D956" s="57"/>
      <c r="Q956" s="1"/>
      <c r="R956" s="1"/>
      <c r="S956" s="1"/>
    </row>
    <row r="957" spans="1:19" s="58" customFormat="1">
      <c r="A957" s="1"/>
      <c r="B957" s="56"/>
      <c r="C957" s="56"/>
      <c r="D957" s="57"/>
      <c r="Q957" s="1"/>
      <c r="R957" s="1"/>
      <c r="S957" s="1"/>
    </row>
    <row r="958" spans="1:19" s="58" customFormat="1">
      <c r="A958" s="1"/>
      <c r="B958" s="56"/>
      <c r="C958" s="56"/>
      <c r="D958" s="57"/>
      <c r="Q958" s="1"/>
      <c r="R958" s="1"/>
      <c r="S958" s="1"/>
    </row>
    <row r="959" spans="1:19" s="58" customFormat="1">
      <c r="A959" s="1"/>
      <c r="B959" s="56"/>
      <c r="C959" s="56"/>
      <c r="D959" s="57"/>
      <c r="Q959" s="1"/>
      <c r="R959" s="1"/>
      <c r="S959" s="1"/>
    </row>
    <row r="960" spans="1:19" s="58" customFormat="1">
      <c r="A960" s="1"/>
      <c r="B960" s="56"/>
      <c r="C960" s="56"/>
      <c r="D960" s="57"/>
      <c r="Q960" s="1"/>
      <c r="R960" s="1"/>
      <c r="S960" s="1"/>
    </row>
    <row r="961" spans="1:19" s="58" customFormat="1">
      <c r="A961" s="1"/>
      <c r="B961" s="56"/>
      <c r="C961" s="56"/>
      <c r="D961" s="57"/>
      <c r="Q961" s="1"/>
      <c r="R961" s="1"/>
      <c r="S961" s="1"/>
    </row>
    <row r="962" spans="1:19" s="58" customFormat="1">
      <c r="A962" s="1"/>
      <c r="B962" s="56"/>
      <c r="C962" s="56"/>
      <c r="D962" s="57"/>
      <c r="Q962" s="1"/>
      <c r="R962" s="1"/>
      <c r="S962" s="1"/>
    </row>
    <row r="963" spans="1:19" s="58" customFormat="1">
      <c r="A963" s="1"/>
      <c r="B963" s="56"/>
      <c r="C963" s="56"/>
      <c r="D963" s="57"/>
      <c r="Q963" s="1"/>
      <c r="R963" s="1"/>
      <c r="S963" s="1"/>
    </row>
    <row r="964" spans="1:19" s="58" customFormat="1">
      <c r="A964" s="1"/>
      <c r="B964" s="56"/>
      <c r="C964" s="56"/>
      <c r="D964" s="57"/>
      <c r="Q964" s="1"/>
      <c r="R964" s="1"/>
      <c r="S964" s="1"/>
    </row>
    <row r="965" spans="1:19" s="58" customFormat="1">
      <c r="A965" s="1"/>
      <c r="B965" s="56"/>
      <c r="C965" s="56"/>
      <c r="D965" s="57"/>
      <c r="Q965" s="1"/>
      <c r="R965" s="1"/>
      <c r="S965" s="1"/>
    </row>
    <row r="966" spans="1:19" s="58" customFormat="1">
      <c r="A966" s="1"/>
      <c r="B966" s="56"/>
      <c r="C966" s="56"/>
      <c r="D966" s="57"/>
      <c r="Q966" s="1"/>
      <c r="R966" s="1"/>
      <c r="S966" s="1"/>
    </row>
    <row r="967" spans="1:19" s="58" customFormat="1">
      <c r="A967" s="1"/>
      <c r="B967" s="56"/>
      <c r="C967" s="56"/>
      <c r="D967" s="57"/>
      <c r="Q967" s="1"/>
      <c r="R967" s="1"/>
      <c r="S967" s="1"/>
    </row>
    <row r="968" spans="1:19" s="58" customFormat="1">
      <c r="A968" s="1"/>
      <c r="B968" s="56"/>
      <c r="C968" s="56"/>
      <c r="D968" s="57"/>
      <c r="Q968" s="1"/>
      <c r="R968" s="1"/>
      <c r="S968" s="1"/>
    </row>
    <row r="969" spans="1:19" s="58" customFormat="1">
      <c r="A969" s="1"/>
      <c r="B969" s="56"/>
      <c r="C969" s="56"/>
      <c r="D969" s="57"/>
      <c r="Q969" s="1"/>
      <c r="R969" s="1"/>
      <c r="S969" s="1"/>
    </row>
    <row r="970" spans="1:19" s="58" customFormat="1">
      <c r="A970" s="1"/>
      <c r="B970" s="56"/>
      <c r="C970" s="56"/>
      <c r="D970" s="57"/>
      <c r="Q970" s="1"/>
      <c r="R970" s="1"/>
      <c r="S970" s="1"/>
    </row>
    <row r="971" spans="1:19" s="58" customFormat="1">
      <c r="A971" s="1"/>
      <c r="B971" s="56"/>
      <c r="C971" s="56"/>
      <c r="D971" s="57"/>
      <c r="Q971" s="1"/>
      <c r="R971" s="1"/>
      <c r="S971" s="1"/>
    </row>
    <row r="972" spans="1:19" s="58" customFormat="1">
      <c r="A972" s="1"/>
      <c r="B972" s="56"/>
      <c r="C972" s="56"/>
      <c r="D972" s="57"/>
      <c r="Q972" s="1"/>
      <c r="R972" s="1"/>
      <c r="S972" s="1"/>
    </row>
    <row r="973" spans="1:19" s="58" customFormat="1">
      <c r="A973" s="1"/>
      <c r="B973" s="56"/>
      <c r="C973" s="56"/>
      <c r="D973" s="57"/>
      <c r="Q973" s="1"/>
      <c r="R973" s="1"/>
      <c r="S973" s="1"/>
    </row>
    <row r="974" spans="1:19" s="58" customFormat="1">
      <c r="A974" s="1"/>
      <c r="B974" s="56"/>
      <c r="C974" s="56"/>
      <c r="D974" s="57"/>
      <c r="Q974" s="1"/>
      <c r="R974" s="1"/>
      <c r="S974" s="1"/>
    </row>
    <row r="975" spans="1:19" s="58" customFormat="1">
      <c r="A975" s="1"/>
      <c r="B975" s="56"/>
      <c r="C975" s="56"/>
      <c r="D975" s="57"/>
      <c r="Q975" s="1"/>
      <c r="R975" s="1"/>
      <c r="S975" s="1"/>
    </row>
    <row r="976" spans="1:19" s="58" customFormat="1">
      <c r="A976" s="1"/>
      <c r="B976" s="56"/>
      <c r="C976" s="56"/>
      <c r="D976" s="57"/>
      <c r="Q976" s="1"/>
      <c r="R976" s="1"/>
      <c r="S976" s="1"/>
    </row>
    <row r="977" spans="1:19" s="58" customFormat="1">
      <c r="A977" s="1"/>
      <c r="B977" s="56"/>
      <c r="C977" s="56"/>
      <c r="D977" s="57"/>
      <c r="Q977" s="1"/>
      <c r="R977" s="1"/>
      <c r="S977" s="1"/>
    </row>
    <row r="978" spans="1:19" s="58" customFormat="1">
      <c r="A978" s="1"/>
      <c r="B978" s="56"/>
      <c r="C978" s="56"/>
      <c r="D978" s="57"/>
      <c r="Q978" s="1"/>
      <c r="R978" s="1"/>
      <c r="S978" s="1"/>
    </row>
    <row r="979" spans="1:19" s="58" customFormat="1">
      <c r="A979" s="1"/>
      <c r="B979" s="56"/>
      <c r="C979" s="56"/>
      <c r="D979" s="57"/>
      <c r="Q979" s="1"/>
      <c r="R979" s="1"/>
      <c r="S979" s="1"/>
    </row>
    <row r="980" spans="1:19" s="58" customFormat="1">
      <c r="A980" s="1"/>
      <c r="B980" s="56"/>
      <c r="C980" s="56"/>
      <c r="D980" s="57"/>
      <c r="Q980" s="1"/>
      <c r="R980" s="1"/>
      <c r="S980" s="1"/>
    </row>
    <row r="981" spans="1:19" s="58" customFormat="1">
      <c r="A981" s="1"/>
      <c r="B981" s="56"/>
      <c r="C981" s="56"/>
      <c r="D981" s="57"/>
      <c r="Q981" s="1"/>
      <c r="R981" s="1"/>
      <c r="S981" s="1"/>
    </row>
    <row r="982" spans="1:19" s="58" customFormat="1">
      <c r="A982" s="1"/>
      <c r="B982" s="56"/>
      <c r="C982" s="56"/>
      <c r="D982" s="57"/>
      <c r="Q982" s="1"/>
      <c r="R982" s="1"/>
      <c r="S982" s="1"/>
    </row>
    <row r="983" spans="1:19" s="58" customFormat="1">
      <c r="A983" s="1"/>
      <c r="B983" s="56"/>
      <c r="C983" s="56"/>
      <c r="D983" s="57"/>
      <c r="Q983" s="1"/>
      <c r="R983" s="1"/>
      <c r="S983" s="1"/>
    </row>
    <row r="984" spans="1:19" s="58" customFormat="1">
      <c r="A984" s="1"/>
      <c r="B984" s="56"/>
      <c r="C984" s="56"/>
      <c r="D984" s="57"/>
      <c r="Q984" s="1"/>
      <c r="R984" s="1"/>
      <c r="S984" s="1"/>
    </row>
    <row r="985" spans="1:19" s="58" customFormat="1">
      <c r="A985" s="1"/>
      <c r="B985" s="56"/>
      <c r="C985" s="56"/>
      <c r="D985" s="57"/>
      <c r="Q985" s="1"/>
      <c r="R985" s="1"/>
      <c r="S985" s="1"/>
    </row>
    <row r="986" spans="1:19" s="58" customFormat="1">
      <c r="A986" s="1"/>
      <c r="B986" s="56"/>
      <c r="C986" s="56"/>
      <c r="D986" s="57"/>
      <c r="Q986" s="1"/>
      <c r="R986" s="1"/>
      <c r="S986" s="1"/>
    </row>
    <row r="987" spans="1:19" s="58" customFormat="1">
      <c r="A987" s="1"/>
      <c r="B987" s="56"/>
      <c r="C987" s="56"/>
      <c r="D987" s="57"/>
      <c r="Q987" s="1"/>
      <c r="R987" s="1"/>
      <c r="S987" s="1"/>
    </row>
    <row r="988" spans="1:19" s="58" customFormat="1">
      <c r="A988" s="1"/>
      <c r="B988" s="56"/>
      <c r="C988" s="56"/>
      <c r="D988" s="57"/>
      <c r="Q988" s="1"/>
      <c r="R988" s="1"/>
      <c r="S988" s="1"/>
    </row>
    <row r="989" spans="1:19" s="58" customFormat="1">
      <c r="A989" s="1"/>
      <c r="B989" s="56"/>
      <c r="C989" s="56"/>
      <c r="D989" s="57"/>
      <c r="Q989" s="1"/>
      <c r="R989" s="1"/>
      <c r="S989" s="1"/>
    </row>
    <row r="990" spans="1:19" s="58" customFormat="1">
      <c r="A990" s="1"/>
      <c r="B990" s="56"/>
      <c r="C990" s="56"/>
      <c r="D990" s="57"/>
      <c r="Q990" s="1"/>
      <c r="R990" s="1"/>
      <c r="S990" s="1"/>
    </row>
    <row r="991" spans="1:19" s="58" customFormat="1">
      <c r="A991" s="1"/>
      <c r="B991" s="56"/>
      <c r="C991" s="56"/>
      <c r="D991" s="57"/>
      <c r="Q991" s="1"/>
      <c r="R991" s="1"/>
      <c r="S991" s="1"/>
    </row>
    <row r="992" spans="1:19" s="58" customFormat="1">
      <c r="A992" s="1"/>
      <c r="B992" s="56"/>
      <c r="C992" s="56"/>
      <c r="D992" s="57"/>
      <c r="Q992" s="1"/>
      <c r="R992" s="1"/>
      <c r="S992" s="1"/>
    </row>
    <row r="993" spans="1:19" s="58" customFormat="1">
      <c r="A993" s="1"/>
      <c r="B993" s="56"/>
      <c r="C993" s="56"/>
      <c r="D993" s="57"/>
      <c r="Q993" s="1"/>
      <c r="R993" s="1"/>
      <c r="S993" s="1"/>
    </row>
    <row r="994" spans="1:19" s="58" customFormat="1">
      <c r="A994" s="1"/>
      <c r="B994" s="56"/>
      <c r="C994" s="56"/>
      <c r="D994" s="57"/>
      <c r="Q994" s="1"/>
      <c r="R994" s="1"/>
      <c r="S994" s="1"/>
    </row>
    <row r="995" spans="1:19" s="58" customFormat="1">
      <c r="A995" s="1"/>
      <c r="B995" s="56"/>
      <c r="C995" s="56"/>
      <c r="D995" s="57"/>
      <c r="Q995" s="1"/>
      <c r="R995" s="1"/>
      <c r="S995" s="1"/>
    </row>
    <row r="996" spans="1:19" s="58" customFormat="1">
      <c r="A996" s="1"/>
      <c r="B996" s="56"/>
      <c r="C996" s="56"/>
      <c r="D996" s="57"/>
      <c r="Q996" s="1"/>
      <c r="R996" s="1"/>
      <c r="S996" s="1"/>
    </row>
    <row r="997" spans="1:19" s="58" customFormat="1">
      <c r="A997" s="1"/>
      <c r="B997" s="56"/>
      <c r="C997" s="56"/>
      <c r="D997" s="57"/>
      <c r="Q997" s="1"/>
      <c r="R997" s="1"/>
      <c r="S997" s="1"/>
    </row>
    <row r="998" spans="1:19" s="58" customFormat="1">
      <c r="A998" s="1"/>
      <c r="B998" s="56"/>
      <c r="C998" s="56"/>
      <c r="D998" s="57"/>
      <c r="Q998" s="1"/>
      <c r="R998" s="1"/>
      <c r="S998" s="1"/>
    </row>
    <row r="999" spans="1:19" s="58" customFormat="1">
      <c r="A999" s="1"/>
      <c r="B999" s="56"/>
      <c r="C999" s="56"/>
      <c r="D999" s="57"/>
      <c r="Q999" s="1"/>
      <c r="R999" s="1"/>
      <c r="S999" s="1"/>
    </row>
    <row r="1000" spans="1:19" s="58" customFormat="1">
      <c r="A1000" s="1"/>
      <c r="B1000" s="56"/>
      <c r="C1000" s="56"/>
      <c r="D1000" s="57"/>
      <c r="Q1000" s="1"/>
      <c r="R1000" s="1"/>
      <c r="S1000" s="1"/>
    </row>
    <row r="1001" spans="1:19" s="58" customFormat="1">
      <c r="A1001" s="1"/>
      <c r="B1001" s="56"/>
      <c r="C1001" s="56"/>
      <c r="D1001" s="57"/>
      <c r="Q1001" s="1"/>
      <c r="R1001" s="1"/>
      <c r="S1001" s="1"/>
    </row>
    <row r="1002" spans="1:19" s="58" customFormat="1">
      <c r="A1002" s="1"/>
      <c r="B1002" s="56"/>
      <c r="C1002" s="56"/>
      <c r="D1002" s="57"/>
      <c r="Q1002" s="1"/>
      <c r="R1002" s="1"/>
      <c r="S1002" s="1"/>
    </row>
    <row r="1003" spans="1:19" s="58" customFormat="1">
      <c r="A1003" s="1"/>
      <c r="B1003" s="56"/>
      <c r="C1003" s="56"/>
      <c r="D1003" s="57"/>
      <c r="Q1003" s="1"/>
      <c r="R1003" s="1"/>
      <c r="S1003" s="1"/>
    </row>
    <row r="1004" spans="1:19" s="58" customFormat="1">
      <c r="A1004" s="1"/>
      <c r="B1004" s="56"/>
      <c r="C1004" s="56"/>
      <c r="D1004" s="57"/>
      <c r="Q1004" s="1"/>
      <c r="R1004" s="1"/>
      <c r="S1004" s="1"/>
    </row>
    <row r="1005" spans="1:19" s="58" customFormat="1">
      <c r="A1005" s="1"/>
      <c r="B1005" s="56"/>
      <c r="C1005" s="56"/>
      <c r="D1005" s="57"/>
      <c r="Q1005" s="1"/>
      <c r="R1005" s="1"/>
      <c r="S1005" s="1"/>
    </row>
  </sheetData>
  <mergeCells count="45">
    <mergeCell ref="N569:O569"/>
    <mergeCell ref="N570:O570"/>
    <mergeCell ref="A575:F575"/>
    <mergeCell ref="A565:F565"/>
    <mergeCell ref="K565:L565"/>
    <mergeCell ref="O565:P565"/>
    <mergeCell ref="N568:O568"/>
    <mergeCell ref="A563:F563"/>
    <mergeCell ref="C370:F370"/>
    <mergeCell ref="C410:F410"/>
    <mergeCell ref="C450:F450"/>
    <mergeCell ref="C541:F541"/>
    <mergeCell ref="C124:F124"/>
    <mergeCell ref="C131:F131"/>
    <mergeCell ref="C141:F141"/>
    <mergeCell ref="C151:F151"/>
    <mergeCell ref="C246:F246"/>
    <mergeCell ref="D14:H14"/>
    <mergeCell ref="I14:L14"/>
    <mergeCell ref="M14:P14"/>
    <mergeCell ref="C16:F16"/>
    <mergeCell ref="C122:F122"/>
    <mergeCell ref="C27:F27"/>
    <mergeCell ref="C33:F33"/>
    <mergeCell ref="C59:F59"/>
    <mergeCell ref="C70:F70"/>
    <mergeCell ref="C93:F93"/>
    <mergeCell ref="C105:F105"/>
    <mergeCell ref="C117:F117"/>
    <mergeCell ref="A1:H4"/>
    <mergeCell ref="A564:C564"/>
    <mergeCell ref="A5:H8"/>
    <mergeCell ref="A9:P9"/>
    <mergeCell ref="A10:B10"/>
    <mergeCell ref="I10:P10"/>
    <mergeCell ref="C10:H10"/>
    <mergeCell ref="C23:F23"/>
    <mergeCell ref="A11:B11"/>
    <mergeCell ref="C11:D11"/>
    <mergeCell ref="E11:H11"/>
    <mergeCell ref="I11:P11"/>
    <mergeCell ref="A12:B12"/>
    <mergeCell ref="D12:H12"/>
    <mergeCell ref="I12:P12"/>
    <mergeCell ref="A13:P13"/>
  </mergeCells>
  <printOptions horizontalCentered="1" verticalCentered="1"/>
  <pageMargins left="0.11811023622047245" right="0" top="1.3779527559055118" bottom="1.4566929133858268" header="0.27559055118110237" footer="0.31496062992125984"/>
  <pageSetup paperSize="9" scale="60" firstPageNumber="0" orientation="portrait" r:id="rId1"/>
  <headerFooter alignWithMargins="0">
    <oddHeader>&amp;L&amp;G</oddHeader>
    <oddFooter>&amp;C&amp;G&amp;R&amp;P/&amp;N</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REFORMA CEU-2016</vt:lpstr>
      <vt:lpstr>'REFORMA CEU-2016'!Area_de_impressao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Laila</dc:creator>
  <cp:lastModifiedBy>cristina.lanna</cp:lastModifiedBy>
  <cp:lastPrinted>2016-04-25T14:04:43Z</cp:lastPrinted>
  <dcterms:created xsi:type="dcterms:W3CDTF">2016-01-24T23:49:34Z</dcterms:created>
  <dcterms:modified xsi:type="dcterms:W3CDTF">2016-04-26T12:42:25Z</dcterms:modified>
</cp:coreProperties>
</file>